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leninaea\Desktop\на сайт\июль\"/>
    </mc:Choice>
  </mc:AlternateContent>
  <bookViews>
    <workbookView xWindow="0" yWindow="0" windowWidth="19200" windowHeight="10395"/>
  </bookViews>
  <sheets>
    <sheet name="Лист3" sheetId="3" r:id="rId1"/>
  </sheets>
  <definedNames>
    <definedName name="SHARED_FORMULA_5_111_5_111_2">#REF!+#REF!+#REF!</definedName>
    <definedName name="SHARED_FORMULA_5_141_5_141_2">#REF!+#REF!+#REF!</definedName>
    <definedName name="SHARED_FORMULA_5_142_5_142_2">#N/A</definedName>
    <definedName name="SHARED_FORMULA_5_16_5_16_2">#REF!+#REF!+#REF!</definedName>
    <definedName name="SHARED_FORMULA_5_168_5_168_2">#N/A</definedName>
    <definedName name="SHARED_FORMULA_5_169_5_169_2">#N/A</definedName>
    <definedName name="SHARED_FORMULA_5_178_5_178_2">#REF!+#REF!+#REF!+#REF!</definedName>
    <definedName name="SHARED_FORMULA_5_183_5_183_2">#N/A</definedName>
    <definedName name="SHARED_FORMULA_5_191_5_191_2">#REF!+#REF!+#REF!+#REF!</definedName>
    <definedName name="SHARED_FORMULA_5_192_5_192_2">#REF!+#REF!+#REF!+#REF!</definedName>
    <definedName name="SHARED_FORMULA_5_195_5_195_2">#REF!+#REF!+#REF!+#REF!</definedName>
    <definedName name="SHARED_FORMULA_5_196_5_196_2">#REF!+#REF!+#REF!+#REF!</definedName>
    <definedName name="SHARED_FORMULA_5_199_5_199_2">#N/A</definedName>
    <definedName name="SHARED_FORMULA_5_201_5_201_2">#REF!+#REF!+#REF!+#REF!</definedName>
    <definedName name="SHARED_FORMULA_5_206_5_206_2">#REF!+#REF!+#REF!+#REF!</definedName>
    <definedName name="SHARED_FORMULA_5_211_5_211_2">#REF!+#REF!+#REF!+#REF!</definedName>
    <definedName name="SHARED_FORMULA_5_231_5_231_2">#REF!+#REF!+#REF!+#REF!</definedName>
    <definedName name="SHARED_FORMULA_5_232_5_232_2">#REF!</definedName>
    <definedName name="SHARED_FORMULA_5_236_5_236_2">#REF!+#REF!+#REF!+#REF!</definedName>
    <definedName name="SHARED_FORMULA_5_237_5_237_2">#REF!</definedName>
    <definedName name="SHARED_FORMULA_5_238_5_238_2">#N/A</definedName>
    <definedName name="SHARED_FORMULA_5_239_5_239_2">#N/A</definedName>
    <definedName name="SHARED_FORMULA_5_241_5_241_2">#REF!+#REF!+#REF!+#REF!</definedName>
    <definedName name="SHARED_FORMULA_5_243_5_243_2">#N/A</definedName>
    <definedName name="SHARED_FORMULA_5_244_5_244_2">#N/A</definedName>
    <definedName name="SHARED_FORMULA_5_246_5_246_2">#REF!+#REF!+#REF!+#REF!</definedName>
    <definedName name="SHARED_FORMULA_5_247_5_247_2">#REF!</definedName>
    <definedName name="SHARED_FORMULA_5_251_5_251_2">#REF!+#REF!+#REF!+#REF!</definedName>
    <definedName name="SHARED_FORMULA_5_253_5_253_2">#N/A</definedName>
    <definedName name="SHARED_FORMULA_5_254_5_254_2">#N/A</definedName>
    <definedName name="SHARED_FORMULA_5_272_5_272_2">#REF!+#REF!+#REF!+#REF!</definedName>
    <definedName name="SHARED_FORMULA_5_277_5_277_2">#N/A</definedName>
    <definedName name="SHARED_FORMULA_5_278_5_278_2">#N/A</definedName>
    <definedName name="SHARED_FORMULA_5_28_5_28_2">#REF!+#REF!+#REF!</definedName>
    <definedName name="SHARED_FORMULA_5_287_5_287_2">#REF!+#REF!+#REF!</definedName>
    <definedName name="SHARED_FORMULA_5_288_5_288_2">#REF!+#REF!+#REF!+#REF!+#REF!</definedName>
    <definedName name="SHARED_FORMULA_5_29_5_29_2">#REF!</definedName>
    <definedName name="SHARED_FORMULA_5_291_5_291_2">#REF!+#REF!+#REF!</definedName>
    <definedName name="SHARED_FORMULA_5_295_5_295_2">#REF!+#REF!+#REF!</definedName>
    <definedName name="SHARED_FORMULA_5_299_5_299_2">#REF!+#REF!+#REF!</definedName>
    <definedName name="SHARED_FORMULA_5_303_5_303_2">#REF!+#REF!+#REF!</definedName>
    <definedName name="SHARED_FORMULA_5_32_5_32_2">#REF!+#REF!+#REF!</definedName>
    <definedName name="SHARED_FORMULA_5_322_5_322_2">#N/A</definedName>
    <definedName name="SHARED_FORMULA_5_323_5_323_2">#REF!+#REF!+#REF!</definedName>
    <definedName name="SHARED_FORMULA_5_331_5_331_2">#REF!+#REF!+#REF!</definedName>
    <definedName name="SHARED_FORMULA_5_332_5_332_2">#REF!</definedName>
    <definedName name="SHARED_FORMULA_5_335_5_335_2">#REF!+#REF!+#REF!</definedName>
    <definedName name="SHARED_FORMULA_5_340_5_340_2">#N/A</definedName>
    <definedName name="SHARED_FORMULA_5_341_5_341_2">#N/A</definedName>
    <definedName name="SHARED_FORMULA_5_359_5_359_2">#REF!+#REF!+#REF!</definedName>
    <definedName name="SHARED_FORMULA_5_360_5_360_2">#REF!+#REF!</definedName>
    <definedName name="SHARED_FORMULA_5_362_5_362_2">#N/A</definedName>
    <definedName name="SHARED_FORMULA_5_365_5_365_2">#N/A</definedName>
    <definedName name="SHARED_FORMULA_5_378_5_378_2">#REF!+#REF!+#REF!</definedName>
    <definedName name="SHARED_FORMULA_5_390_5_390_2">#REF!+#REF!+#REF!</definedName>
    <definedName name="SHARED_FORMULA_5_391_5_391_2">#REF!</definedName>
    <definedName name="SHARED_FORMULA_5_393_5_393_2">#N/A</definedName>
    <definedName name="SHARED_FORMULA_5_394_5_394_2">#REF!+#REF!+#REF!</definedName>
    <definedName name="SHARED_FORMULA_5_407_5_407_2">#REF!</definedName>
    <definedName name="SHARED_FORMULA_5_408_5_408_2">#REF!</definedName>
    <definedName name="SHARED_FORMULA_5_410_5_410_2">#REF!+#REF!+#REF!</definedName>
    <definedName name="SHARED_FORMULA_5_427_5_427_2">#N/A</definedName>
    <definedName name="SHARED_FORMULA_5_431_5_431_2">#N/A</definedName>
    <definedName name="SHARED_FORMULA_5_434_5_434_2">#REF!+#REF!+#REF!</definedName>
    <definedName name="SHARED_FORMULA_5_435_5_435_2">#REF!+#REF!+#REF!</definedName>
    <definedName name="SHARED_FORMULA_5_436_5_436_2">#REF!+#REF!+#REF!</definedName>
    <definedName name="SHARED_FORMULA_5_438_5_438_2">#REF!+#REF!+#REF!</definedName>
    <definedName name="SHARED_FORMULA_5_44_5_44_2">#REF!+#REF!+#REF!</definedName>
    <definedName name="SHARED_FORMULA_5_45_5_45_2">#REF!+#REF!+#REF!+#REF!+#REF!</definedName>
    <definedName name="SHARED_FORMULA_5_48_5_48_2">#REF!+#REF!+#REF!</definedName>
    <definedName name="SHARED_FORMULA_5_52_5_52_2">#REF!+#REF!+#REF!</definedName>
    <definedName name="SHARED_FORMULA_5_60_5_60_2">#REF!+#REF!+#REF!</definedName>
    <definedName name="SHARED_FORMULA_5_72_5_72_2">#REF!+#REF!+#REF!</definedName>
    <definedName name="SHARED_FORMULA_5_76_5_76_2">#REF!+#REF!+#REF!</definedName>
    <definedName name="SHARED_FORMULA_5_8_5_8_2">#REF!+#REF!+#REF!</definedName>
    <definedName name="SHARED_FORMULA_5_80_5_80_2">#REF!+#REF!+#REF!</definedName>
    <definedName name="SHARED_FORMULA_5_84_5_84_2">#REF!+#REF!+#REF!</definedName>
    <definedName name="SHARED_FORMULA_5_92_5_92_2">#REF!+#REF!+#REF!</definedName>
    <definedName name="SHARED_FORMULA_5_93_5_93_2">#REF!+#REF!+#REF!+#REF!</definedName>
    <definedName name="SHARED_FORMULA_6_10_6_10_2">#N/A</definedName>
    <definedName name="SHARED_FORMULA_6_105_6_105_2">#N/A</definedName>
    <definedName name="SHARED_FORMULA_6_11_6_11_2">#N/A</definedName>
    <definedName name="SHARED_FORMULA_6_115_6_115_2">#REF!+#REF!+#REF!</definedName>
    <definedName name="SHARED_FORMULA_6_12_6_12_2">#N/A</definedName>
    <definedName name="SHARED_FORMULA_6_130_6_130_2">#N/A</definedName>
    <definedName name="SHARED_FORMULA_6_135_6_135_2">#N/A</definedName>
    <definedName name="SHARED_FORMULA_6_140_6_140_2">#N/A</definedName>
    <definedName name="SHARED_FORMULA_6_141_6_141_2">#N/A</definedName>
    <definedName name="SHARED_FORMULA_6_145_6_145_2">#N/A</definedName>
    <definedName name="SHARED_FORMULA_6_155_6_155_2">#REF!</definedName>
    <definedName name="SHARED_FORMULA_6_165_6_165_2">#N/A</definedName>
    <definedName name="SHARED_FORMULA_6_166_6_166_2">#N/A</definedName>
    <definedName name="SHARED_FORMULA_6_167_6_167_2">#N/A</definedName>
    <definedName name="SHARED_FORMULA_6_170_6_170_2">#N/A</definedName>
    <definedName name="SHARED_FORMULA_6_175_6_175_2">#N/A</definedName>
    <definedName name="SHARED_FORMULA_6_180_6_180_2">#N/A</definedName>
    <definedName name="SHARED_FORMULA_6_181_6_181_2">#N/A</definedName>
    <definedName name="SHARED_FORMULA_6_182_6_182_2">#N/A</definedName>
    <definedName name="SHARED_FORMULA_6_184_6_184_2">#N/A</definedName>
    <definedName name="SHARED_FORMULA_6_185_6_185_2">#N/A</definedName>
    <definedName name="SHARED_FORMULA_6_190_6_190_2">#N/A</definedName>
    <definedName name="SHARED_FORMULA_6_195_6_195_2">#N/A</definedName>
    <definedName name="SHARED_FORMULA_6_196_6_196_2">#N/A</definedName>
    <definedName name="SHARED_FORMULA_6_197_6_197_2">#N/A</definedName>
    <definedName name="SHARED_FORMULA_6_198_6_198_2">#N/A</definedName>
    <definedName name="SHARED_FORMULA_6_200_6_200_2">#N/A</definedName>
    <definedName name="SHARED_FORMULA_6_205_6_205_2">#N/A</definedName>
    <definedName name="SHARED_FORMULA_6_210_6_210_2">#N/A</definedName>
    <definedName name="SHARED_FORMULA_6_215_6_215_2">#N/A</definedName>
    <definedName name="SHARED_FORMULA_6_235_6_235_2">#N/A</definedName>
    <definedName name="SHARED_FORMULA_6_236_6_236_2">#N/A</definedName>
    <definedName name="SHARED_FORMULA_6_237_6_237_2">#N/A</definedName>
    <definedName name="SHARED_FORMULA_6_24_6_24_2">#N/A</definedName>
    <definedName name="SHARED_FORMULA_6_240_6_240_2">#N/A</definedName>
    <definedName name="SHARED_FORMULA_6_241_6_241_2">#N/A</definedName>
    <definedName name="SHARED_FORMULA_6_242_6_242_2">#N/A</definedName>
    <definedName name="SHARED_FORMULA_6_245_6_245_2">#N/A</definedName>
    <definedName name="SHARED_FORMULA_6_25_6_25_2">#N/A</definedName>
    <definedName name="SHARED_FORMULA_6_250_6_250_2">#N/A</definedName>
    <definedName name="SHARED_FORMULA_6_251_6_251_2">#N/A</definedName>
    <definedName name="SHARED_FORMULA_6_252_6_252_2">#N/A</definedName>
    <definedName name="SHARED_FORMULA_6_255_6_255_2">#N/A</definedName>
    <definedName name="SHARED_FORMULA_6_26_6_26_2">#N/A</definedName>
    <definedName name="SHARED_FORMULA_6_260_6_260_2">#N/A</definedName>
    <definedName name="SHARED_FORMULA_6_27_6_27_2">#N/A</definedName>
    <definedName name="SHARED_FORMULA_6_275_6_275_2">#N/A</definedName>
    <definedName name="SHARED_FORMULA_6_276_6_276_2">#N/A</definedName>
    <definedName name="SHARED_FORMULA_6_279_6_279_2">#N/A</definedName>
    <definedName name="SHARED_FORMULA_6_28_6_28_2">#N/A</definedName>
    <definedName name="SHARED_FORMULA_6_283_6_283_2">#N/A</definedName>
    <definedName name="SHARED_FORMULA_6_287_6_287_2">#N/A</definedName>
    <definedName name="SHARED_FORMULA_6_290_6_290_2">#REF!+#REF!+#REF!+#REF!+#REF!</definedName>
    <definedName name="SHARED_FORMULA_6_291_6_291_2">#N/A</definedName>
    <definedName name="SHARED_FORMULA_6_311_6_311_2">#N/A</definedName>
    <definedName name="SHARED_FORMULA_6_319_6_319_2">#N/A</definedName>
    <definedName name="SHARED_FORMULA_6_320_6_320_2">#N/A</definedName>
    <definedName name="SHARED_FORMULA_6_323_6_323_2">#N/A</definedName>
    <definedName name="SHARED_FORMULA_6_327_6_327_2">#N/A</definedName>
    <definedName name="SHARED_FORMULA_6_328_6_328_2">#N/A</definedName>
    <definedName name="SHARED_FORMULA_6_338_6_338_2">#N/A</definedName>
    <definedName name="SHARED_FORMULA_6_339_6_339_2">#N/A</definedName>
    <definedName name="SHARED_FORMULA_6_342_6_342_2">#N/A</definedName>
    <definedName name="SHARED_FORMULA_6_346_6_346_2">#N/A</definedName>
    <definedName name="SHARED_FORMULA_6_354_6_354_2">#N/A</definedName>
    <definedName name="SHARED_FORMULA_6_358_6_358_2">#N/A</definedName>
    <definedName name="SHARED_FORMULA_6_363_6_363_2">#N/A</definedName>
    <definedName name="SHARED_FORMULA_6_379_6_379_2">#N/A</definedName>
    <definedName name="SHARED_FORMULA_6_391_6_391_2">#N/A</definedName>
    <definedName name="SHARED_FORMULA_6_392_6_392_2">#N/A</definedName>
    <definedName name="SHARED_FORMULA_6_395_6_395_2">#N/A</definedName>
    <definedName name="SHARED_FORMULA_6_407_6_407_2">#N/A</definedName>
    <definedName name="SHARED_FORMULA_6_411_6_411_2">#N/A</definedName>
    <definedName name="SHARED_FORMULA_6_44_6_44_2">#N/A</definedName>
    <definedName name="SHARED_FORMULA_6_45_6_45_2">#N/A</definedName>
    <definedName name="SHARED_FORMULA_6_46_6_46_2">#N/A</definedName>
    <definedName name="SHARED_FORMULA_6_47_6_47_2">#N/A</definedName>
    <definedName name="SHARED_FORMULA_6_48_6_48_2">#N/A</definedName>
    <definedName name="SHARED_FORMULA_6_52_6_52_2">#N/A</definedName>
    <definedName name="SHARED_FORMULA_6_60_6_60_2">#N/A</definedName>
    <definedName name="SHARED_FORMULA_6_72_6_72_2">#N/A</definedName>
    <definedName name="SHARED_FORMULA_6_76_6_76_2">#N/A</definedName>
    <definedName name="SHARED_FORMULA_6_8_6_8_2">#N/A</definedName>
    <definedName name="SHARED_FORMULA_6_80_6_80_2">#N/A</definedName>
    <definedName name="SHARED_FORMULA_6_84_6_84_2">#N/A</definedName>
    <definedName name="SHARED_FORMULA_6_88_6_88_2">#REF!+#REF!+#REF!</definedName>
    <definedName name="SHARED_FORMULA_6_9_6_9_2">#REF!</definedName>
    <definedName name="SHARED_FORMULA_7_49_7_49_2">#REF!+#REF!</definedName>
    <definedName name="SHARED_FORMULA_8_262_8_262_2">#N/A</definedName>
    <definedName name="SHARED_FORMULA_9_436_9_436_2">#REF!+#REF!+#REF!</definedName>
    <definedName name="SHARED_FORMULA_9_439_9_439_2">#REF!+#REF!+#REF!</definedName>
    <definedName name="SHARED_FORMULA_9_45_9_45_2">#REF!+#REF!+#REF!+#REF!+#REF!</definedName>
    <definedName name="_xlnm.Print_Area" localSheetId="0">Лист3!$A$1:$N$639</definedName>
  </definedNames>
  <calcPr calcId="152511"/>
</workbook>
</file>

<file path=xl/calcChain.xml><?xml version="1.0" encoding="utf-8"?>
<calcChain xmlns="http://schemas.openxmlformats.org/spreadsheetml/2006/main">
  <c r="I538" i="3" l="1"/>
  <c r="N642" i="3"/>
  <c r="I558" i="3"/>
  <c r="G558" i="3"/>
  <c r="I444" i="3"/>
  <c r="I172" i="3"/>
  <c r="I175" i="3"/>
  <c r="I490" i="3"/>
  <c r="I482" i="3"/>
  <c r="I305" i="3"/>
  <c r="I302" i="3"/>
  <c r="L327" i="3"/>
  <c r="K327" i="3"/>
  <c r="J327" i="3"/>
  <c r="I327" i="3"/>
  <c r="H327" i="3"/>
  <c r="G327" i="3"/>
  <c r="F327" i="3"/>
  <c r="L322" i="3"/>
  <c r="K322" i="3"/>
  <c r="J322" i="3"/>
  <c r="I322" i="3"/>
  <c r="H322" i="3"/>
  <c r="G322" i="3"/>
  <c r="F322" i="3"/>
  <c r="I154" i="3"/>
  <c r="I134" i="3"/>
  <c r="I130" i="3"/>
  <c r="I122" i="3"/>
  <c r="I94" i="3"/>
  <c r="I92" i="3"/>
  <c r="G92" i="3"/>
  <c r="I613" i="3"/>
  <c r="I470" i="3"/>
  <c r="I466" i="3"/>
  <c r="I253" i="3"/>
  <c r="L317" i="3"/>
  <c r="K317" i="3"/>
  <c r="J317" i="3"/>
  <c r="I317" i="3"/>
  <c r="H317" i="3"/>
  <c r="G317" i="3"/>
  <c r="F317" i="3"/>
  <c r="I220" i="3"/>
  <c r="I216" i="3"/>
  <c r="G216" i="3"/>
  <c r="G214" i="3"/>
  <c r="I106" i="3"/>
  <c r="G106" i="3"/>
  <c r="I104" i="3"/>
  <c r="I173" i="3"/>
  <c r="I146" i="3"/>
  <c r="I144" i="3"/>
  <c r="I69" i="3"/>
  <c r="L144" i="3"/>
  <c r="K144" i="3"/>
  <c r="J144" i="3"/>
  <c r="H144" i="3"/>
  <c r="G144" i="3"/>
  <c r="F144" i="3"/>
  <c r="I102" i="3"/>
  <c r="I100" i="3"/>
  <c r="I90" i="3"/>
  <c r="G90" i="3"/>
  <c r="I20" i="3"/>
  <c r="I12" i="3"/>
  <c r="I152" i="3"/>
  <c r="L140" i="3"/>
  <c r="K140" i="3"/>
  <c r="J140" i="3"/>
  <c r="I140" i="3"/>
  <c r="F140" i="3"/>
  <c r="L136" i="3"/>
  <c r="K136" i="3"/>
  <c r="J136" i="3"/>
  <c r="I136" i="3"/>
  <c r="H136" i="3"/>
  <c r="G136" i="3"/>
  <c r="F136" i="3"/>
  <c r="K613" i="3"/>
  <c r="G613" i="3"/>
  <c r="J613" i="3"/>
  <c r="I609" i="3"/>
  <c r="I605" i="3"/>
  <c r="I603" i="3"/>
  <c r="I480" i="3"/>
  <c r="G480" i="3"/>
  <c r="G466" i="3"/>
  <c r="I78" i="3"/>
  <c r="I74" i="3"/>
  <c r="I248" i="3"/>
  <c r="I231" i="3"/>
  <c r="G231" i="3"/>
  <c r="H255" i="3"/>
  <c r="L258" i="3"/>
  <c r="K258" i="3"/>
  <c r="J258" i="3"/>
  <c r="J255" i="3"/>
  <c r="I258" i="3"/>
  <c r="I255" i="3"/>
  <c r="G258" i="3"/>
  <c r="F258" i="3"/>
  <c r="F255" i="3"/>
  <c r="K255" i="3"/>
  <c r="I132" i="3"/>
  <c r="G132" i="3"/>
  <c r="I554" i="3"/>
  <c r="G554" i="3"/>
  <c r="G550" i="3"/>
  <c r="I486" i="3"/>
  <c r="I484" i="3"/>
  <c r="I542" i="3"/>
  <c r="I540" i="3"/>
  <c r="I510" i="3"/>
  <c r="I414" i="3"/>
  <c r="I410" i="3"/>
  <c r="I409" i="3"/>
  <c r="I406" i="3"/>
  <c r="I405" i="3"/>
  <c r="I581" i="3"/>
  <c r="G506" i="3"/>
  <c r="G505" i="3"/>
  <c r="L504" i="3"/>
  <c r="K504" i="3"/>
  <c r="J504" i="3"/>
  <c r="I504" i="3"/>
  <c r="G504" i="3"/>
  <c r="H504" i="3"/>
  <c r="F504" i="3"/>
  <c r="I418" i="3"/>
  <c r="I419" i="3"/>
  <c r="I420" i="3"/>
  <c r="G432" i="3"/>
  <c r="K429" i="3"/>
  <c r="J429" i="3"/>
  <c r="I429" i="3"/>
  <c r="H429" i="3"/>
  <c r="G429" i="3"/>
  <c r="J638" i="3"/>
  <c r="G407" i="3"/>
  <c r="H407" i="3"/>
  <c r="J406" i="3"/>
  <c r="K406" i="3"/>
  <c r="L406" i="3"/>
  <c r="L405" i="3"/>
  <c r="J407" i="3"/>
  <c r="K407" i="3"/>
  <c r="L407" i="3"/>
  <c r="I407" i="3"/>
  <c r="J409" i="3"/>
  <c r="K409" i="3"/>
  <c r="L409" i="3"/>
  <c r="H410" i="3"/>
  <c r="H409" i="3"/>
  <c r="I536" i="3"/>
  <c r="I534" i="3"/>
  <c r="I532" i="3"/>
  <c r="I530" i="3"/>
  <c r="I528" i="3"/>
  <c r="H518" i="3"/>
  <c r="J518" i="3"/>
  <c r="J516" i="3"/>
  <c r="K518" i="3"/>
  <c r="K516" i="3"/>
  <c r="L518" i="3"/>
  <c r="I518" i="3"/>
  <c r="I516" i="3"/>
  <c r="G522" i="3"/>
  <c r="G518" i="3"/>
  <c r="G520" i="3"/>
  <c r="L520" i="3"/>
  <c r="K520" i="3"/>
  <c r="J520" i="3"/>
  <c r="I520" i="3"/>
  <c r="H520" i="3"/>
  <c r="F525" i="3"/>
  <c r="F524" i="3"/>
  <c r="H525" i="3"/>
  <c r="I525" i="3"/>
  <c r="J525" i="3"/>
  <c r="K525" i="3"/>
  <c r="L525" i="3"/>
  <c r="L524" i="3"/>
  <c r="F526" i="3"/>
  <c r="L526" i="3"/>
  <c r="I401" i="3"/>
  <c r="I399" i="3"/>
  <c r="G399" i="3"/>
  <c r="I397" i="3"/>
  <c r="G403" i="3"/>
  <c r="G401" i="3"/>
  <c r="L401" i="3"/>
  <c r="K401" i="3"/>
  <c r="J401" i="3"/>
  <c r="H401" i="3"/>
  <c r="F335" i="3"/>
  <c r="G439" i="3"/>
  <c r="G437" i="3"/>
  <c r="I437" i="3"/>
  <c r="L435" i="3"/>
  <c r="L433" i="3"/>
  <c r="K435" i="3"/>
  <c r="K433" i="3"/>
  <c r="J435" i="3"/>
  <c r="I435" i="3"/>
  <c r="I433" i="3"/>
  <c r="H435" i="3"/>
  <c r="H433" i="3"/>
  <c r="G435" i="3"/>
  <c r="G433" i="3"/>
  <c r="J433" i="3"/>
  <c r="H166" i="3"/>
  <c r="H164" i="3"/>
  <c r="J166" i="3"/>
  <c r="J164" i="3"/>
  <c r="K166" i="3"/>
  <c r="K164" i="3"/>
  <c r="L166" i="3"/>
  <c r="L164" i="3"/>
  <c r="G156" i="3"/>
  <c r="G158" i="3"/>
  <c r="H158" i="3"/>
  <c r="H156" i="3"/>
  <c r="J156" i="3"/>
  <c r="J158" i="3"/>
  <c r="K158" i="3"/>
  <c r="K156" i="3"/>
  <c r="L158" i="3"/>
  <c r="L156" i="3"/>
  <c r="G162" i="3"/>
  <c r="G170" i="3"/>
  <c r="G166" i="3"/>
  <c r="G164" i="3"/>
  <c r="G168" i="3"/>
  <c r="I168" i="3"/>
  <c r="I166" i="3"/>
  <c r="I164" i="3"/>
  <c r="I160" i="3"/>
  <c r="I158" i="3"/>
  <c r="I156" i="3"/>
  <c r="L160" i="3"/>
  <c r="K160" i="3"/>
  <c r="J160" i="3"/>
  <c r="H160" i="3"/>
  <c r="G160" i="3"/>
  <c r="K154" i="3"/>
  <c r="J154" i="3"/>
  <c r="J152" i="3"/>
  <c r="L152" i="3"/>
  <c r="K152" i="3"/>
  <c r="H152" i="3"/>
  <c r="F152" i="3"/>
  <c r="J337" i="3"/>
  <c r="K337" i="3"/>
  <c r="L337" i="3"/>
  <c r="J335" i="3"/>
  <c r="J332" i="3"/>
  <c r="K335" i="3"/>
  <c r="K332" i="3"/>
  <c r="L335" i="3"/>
  <c r="L332" i="3"/>
  <c r="J231" i="3"/>
  <c r="K231" i="3"/>
  <c r="L231" i="3"/>
  <c r="J232" i="3"/>
  <c r="K232" i="3"/>
  <c r="L232" i="3"/>
  <c r="J210" i="3"/>
  <c r="K210" i="3"/>
  <c r="K209" i="3"/>
  <c r="L210" i="3"/>
  <c r="J212" i="3"/>
  <c r="K212" i="3"/>
  <c r="L212" i="3"/>
  <c r="L209" i="3"/>
  <c r="I210" i="3"/>
  <c r="J188" i="3"/>
  <c r="K188" i="3"/>
  <c r="L188" i="3"/>
  <c r="L190" i="3"/>
  <c r="I188" i="3"/>
  <c r="I310" i="3"/>
  <c r="I307" i="3"/>
  <c r="I335" i="3"/>
  <c r="F10" i="3"/>
  <c r="I10" i="3"/>
  <c r="L10" i="3"/>
  <c r="F13" i="3"/>
  <c r="L13" i="3"/>
  <c r="F14" i="3"/>
  <c r="H14" i="3"/>
  <c r="I14" i="3"/>
  <c r="J14" i="3"/>
  <c r="K14" i="3"/>
  <c r="L14" i="3"/>
  <c r="G15" i="3"/>
  <c r="G16" i="3"/>
  <c r="G17" i="3"/>
  <c r="F18" i="3"/>
  <c r="J18" i="3"/>
  <c r="K18" i="3"/>
  <c r="L18" i="3"/>
  <c r="H20" i="3"/>
  <c r="F22" i="3"/>
  <c r="H23" i="3"/>
  <c r="H22" i="3"/>
  <c r="I23" i="3"/>
  <c r="I22" i="3"/>
  <c r="J23" i="3"/>
  <c r="J10" i="3"/>
  <c r="J22" i="3"/>
  <c r="K23" i="3"/>
  <c r="K10" i="3"/>
  <c r="F26" i="3"/>
  <c r="H26" i="3"/>
  <c r="I26" i="3"/>
  <c r="J26" i="3"/>
  <c r="K26" i="3"/>
  <c r="G28" i="3"/>
  <c r="G26" i="3"/>
  <c r="F31" i="3"/>
  <c r="G31" i="3"/>
  <c r="H31" i="3"/>
  <c r="I31" i="3"/>
  <c r="J31" i="3"/>
  <c r="K31" i="3"/>
  <c r="L31" i="3"/>
  <c r="F32" i="3"/>
  <c r="F11" i="3"/>
  <c r="H32" i="3"/>
  <c r="H11" i="3"/>
  <c r="I32" i="3"/>
  <c r="I11" i="3"/>
  <c r="I174" i="3"/>
  <c r="J32" i="3"/>
  <c r="J11" i="3"/>
  <c r="K32" i="3"/>
  <c r="K11" i="3"/>
  <c r="K174" i="3"/>
  <c r="K638" i="3"/>
  <c r="L32" i="3"/>
  <c r="L11" i="3"/>
  <c r="L174" i="3"/>
  <c r="L638" i="3"/>
  <c r="F33" i="3"/>
  <c r="F12" i="3"/>
  <c r="F175" i="3"/>
  <c r="H33" i="3"/>
  <c r="I33" i="3"/>
  <c r="J33" i="3"/>
  <c r="J12" i="3"/>
  <c r="K33" i="3"/>
  <c r="K12" i="3"/>
  <c r="L33" i="3"/>
  <c r="L30" i="3"/>
  <c r="L12" i="3"/>
  <c r="L175" i="3"/>
  <c r="H34" i="3"/>
  <c r="I34" i="3"/>
  <c r="I13" i="3"/>
  <c r="J34" i="3"/>
  <c r="J13" i="3"/>
  <c r="K34" i="3"/>
  <c r="K13" i="3"/>
  <c r="F35" i="3"/>
  <c r="H35" i="3"/>
  <c r="I35" i="3"/>
  <c r="J35" i="3"/>
  <c r="K35" i="3"/>
  <c r="L35" i="3"/>
  <c r="G37" i="3"/>
  <c r="G35" i="3"/>
  <c r="G38" i="3"/>
  <c r="I39" i="3"/>
  <c r="J39" i="3"/>
  <c r="K39" i="3"/>
  <c r="G41" i="3"/>
  <c r="G42" i="3"/>
  <c r="H43" i="3"/>
  <c r="G43" i="3"/>
  <c r="G45" i="3"/>
  <c r="G32" i="3"/>
  <c r="G46" i="3"/>
  <c r="G50" i="3"/>
  <c r="G51" i="3"/>
  <c r="F53" i="3"/>
  <c r="I53" i="3"/>
  <c r="J53" i="3"/>
  <c r="J52" i="3"/>
  <c r="K53" i="3"/>
  <c r="K173" i="3"/>
  <c r="F54" i="3"/>
  <c r="G54" i="3"/>
  <c r="H54" i="3"/>
  <c r="I54" i="3"/>
  <c r="J54" i="3"/>
  <c r="K54" i="3"/>
  <c r="L54" i="3"/>
  <c r="F55" i="3"/>
  <c r="G55" i="3"/>
  <c r="H55" i="3"/>
  <c r="I55" i="3"/>
  <c r="J55" i="3"/>
  <c r="J176" i="3"/>
  <c r="J639" i="3"/>
  <c r="K55" i="3"/>
  <c r="L55" i="3"/>
  <c r="F56" i="3"/>
  <c r="I56" i="3"/>
  <c r="J56" i="3"/>
  <c r="K56" i="3"/>
  <c r="H57" i="3"/>
  <c r="L57" i="3"/>
  <c r="G57" i="3"/>
  <c r="F60" i="3"/>
  <c r="H60" i="3"/>
  <c r="I60" i="3"/>
  <c r="J60" i="3"/>
  <c r="K60" i="3"/>
  <c r="G61" i="3"/>
  <c r="F64" i="3"/>
  <c r="H64" i="3"/>
  <c r="G64" i="3"/>
  <c r="I64" i="3"/>
  <c r="J64" i="3"/>
  <c r="K64" i="3"/>
  <c r="G65" i="3"/>
  <c r="H65" i="3"/>
  <c r="F71" i="3"/>
  <c r="F176" i="3"/>
  <c r="G71" i="3"/>
  <c r="I71" i="3"/>
  <c r="J71" i="3"/>
  <c r="K71" i="3"/>
  <c r="L71" i="3"/>
  <c r="I73" i="3"/>
  <c r="J73" i="3"/>
  <c r="J69" i="3"/>
  <c r="K73" i="3"/>
  <c r="K69" i="3"/>
  <c r="K68" i="3"/>
  <c r="L73" i="3"/>
  <c r="F74" i="3"/>
  <c r="H74" i="3"/>
  <c r="L74" i="3"/>
  <c r="F76" i="3"/>
  <c r="L76" i="3"/>
  <c r="H77" i="3"/>
  <c r="H76" i="3"/>
  <c r="J78" i="3"/>
  <c r="K78" i="3"/>
  <c r="K76" i="3"/>
  <c r="H80" i="3"/>
  <c r="I80" i="3"/>
  <c r="J80" i="3"/>
  <c r="K80" i="3"/>
  <c r="G80" i="3"/>
  <c r="L80" i="3"/>
  <c r="F81" i="3"/>
  <c r="F73" i="3"/>
  <c r="F69" i="3"/>
  <c r="F173" i="3"/>
  <c r="G81" i="3"/>
  <c r="G82" i="3"/>
  <c r="H85" i="3"/>
  <c r="J86" i="3"/>
  <c r="J84" i="3"/>
  <c r="K86" i="3"/>
  <c r="K84" i="3"/>
  <c r="L86" i="3"/>
  <c r="L70" i="3"/>
  <c r="L84" i="3"/>
  <c r="H87" i="3"/>
  <c r="H88" i="3"/>
  <c r="J88" i="3"/>
  <c r="K88" i="3"/>
  <c r="L88" i="3"/>
  <c r="F90" i="3"/>
  <c r="F88" i="3"/>
  <c r="J92" i="3"/>
  <c r="K92" i="3"/>
  <c r="L92" i="3"/>
  <c r="F94" i="3"/>
  <c r="F92" i="3"/>
  <c r="H94" i="3"/>
  <c r="H86" i="3"/>
  <c r="F96" i="3"/>
  <c r="G96" i="3"/>
  <c r="H96" i="3"/>
  <c r="I96" i="3"/>
  <c r="J96" i="3"/>
  <c r="K96" i="3"/>
  <c r="L96" i="3"/>
  <c r="F100" i="3"/>
  <c r="J100" i="3"/>
  <c r="K100" i="3"/>
  <c r="L100" i="3"/>
  <c r="H102" i="3"/>
  <c r="H100" i="3"/>
  <c r="F104" i="3"/>
  <c r="H104" i="3"/>
  <c r="L104" i="3"/>
  <c r="G105" i="3"/>
  <c r="G104" i="3"/>
  <c r="H105" i="3"/>
  <c r="J106" i="3"/>
  <c r="K106" i="3"/>
  <c r="K104" i="3"/>
  <c r="F108" i="3"/>
  <c r="H108" i="3"/>
  <c r="I108" i="3"/>
  <c r="J108" i="3"/>
  <c r="K108" i="3"/>
  <c r="L108" i="3"/>
  <c r="G109" i="3"/>
  <c r="G110" i="3"/>
  <c r="H110" i="3"/>
  <c r="H112" i="3"/>
  <c r="I112" i="3"/>
  <c r="J112" i="3"/>
  <c r="K112" i="3"/>
  <c r="L112" i="3"/>
  <c r="G113" i="3"/>
  <c r="G114" i="3"/>
  <c r="G70" i="3"/>
  <c r="G68" i="3"/>
  <c r="G115" i="3"/>
  <c r="H116" i="3"/>
  <c r="I116" i="3"/>
  <c r="J116" i="3"/>
  <c r="K116" i="3"/>
  <c r="L116" i="3"/>
  <c r="G117" i="3"/>
  <c r="G118" i="3"/>
  <c r="G119" i="3"/>
  <c r="I120" i="3"/>
  <c r="J120" i="3"/>
  <c r="K120" i="3"/>
  <c r="L120" i="3"/>
  <c r="G121" i="3"/>
  <c r="H122" i="3"/>
  <c r="G122" i="3"/>
  <c r="G123" i="3"/>
  <c r="H124" i="3"/>
  <c r="I124" i="3"/>
  <c r="G124" i="3"/>
  <c r="J124" i="3"/>
  <c r="K124" i="3"/>
  <c r="L124" i="3"/>
  <c r="G125" i="3"/>
  <c r="G126" i="3"/>
  <c r="G127" i="3"/>
  <c r="H128" i="3"/>
  <c r="I128" i="3"/>
  <c r="J128" i="3"/>
  <c r="K128" i="3"/>
  <c r="L128" i="3"/>
  <c r="G129" i="3"/>
  <c r="G130" i="3"/>
  <c r="G131" i="3"/>
  <c r="H132" i="3"/>
  <c r="J132" i="3"/>
  <c r="K132" i="3"/>
  <c r="L132" i="3"/>
  <c r="G133" i="3"/>
  <c r="G135" i="3"/>
  <c r="F148" i="3"/>
  <c r="H148" i="3"/>
  <c r="L148" i="3"/>
  <c r="J150" i="3"/>
  <c r="J148" i="3"/>
  <c r="K150" i="3"/>
  <c r="K148" i="3"/>
  <c r="O175" i="3"/>
  <c r="F190" i="3"/>
  <c r="H190" i="3"/>
  <c r="F192" i="3"/>
  <c r="I192" i="3"/>
  <c r="L192" i="3"/>
  <c r="H193" i="3"/>
  <c r="H192" i="3"/>
  <c r="I194" i="3"/>
  <c r="I190" i="3"/>
  <c r="I187" i="3"/>
  <c r="J194" i="3"/>
  <c r="K194" i="3"/>
  <c r="K190" i="3"/>
  <c r="H196" i="3"/>
  <c r="I196" i="3"/>
  <c r="J196" i="3"/>
  <c r="K196" i="3"/>
  <c r="L196" i="3"/>
  <c r="F197" i="3"/>
  <c r="F196" i="3"/>
  <c r="F188" i="3"/>
  <c r="G197" i="3"/>
  <c r="G196" i="3"/>
  <c r="G198" i="3"/>
  <c r="F200" i="3"/>
  <c r="H200" i="3"/>
  <c r="I200" i="3"/>
  <c r="J200" i="3"/>
  <c r="K200" i="3"/>
  <c r="L200" i="3"/>
  <c r="G200" i="3"/>
  <c r="G201" i="3"/>
  <c r="F205" i="3"/>
  <c r="H205" i="3"/>
  <c r="I205" i="3"/>
  <c r="J205" i="3"/>
  <c r="K205" i="3"/>
  <c r="L205" i="3"/>
  <c r="G205" i="3"/>
  <c r="G206" i="3"/>
  <c r="F210" i="3"/>
  <c r="F209" i="3"/>
  <c r="H210" i="3"/>
  <c r="F212" i="3"/>
  <c r="F214" i="3"/>
  <c r="J214" i="3"/>
  <c r="K214" i="3"/>
  <c r="L214" i="3"/>
  <c r="H216" i="3"/>
  <c r="H214" i="3"/>
  <c r="I214" i="3"/>
  <c r="F218" i="3"/>
  <c r="H218" i="3"/>
  <c r="I218" i="3"/>
  <c r="J218" i="3"/>
  <c r="K218" i="3"/>
  <c r="L218" i="3"/>
  <c r="G220" i="3"/>
  <c r="G218" i="3"/>
  <c r="F222" i="3"/>
  <c r="H222" i="3"/>
  <c r="I222" i="3"/>
  <c r="J222" i="3"/>
  <c r="K222" i="3"/>
  <c r="L222" i="3"/>
  <c r="G224" i="3"/>
  <c r="G222" i="3"/>
  <c r="F226" i="3"/>
  <c r="H226" i="3"/>
  <c r="I226" i="3"/>
  <c r="J226" i="3"/>
  <c r="K226" i="3"/>
  <c r="L226" i="3"/>
  <c r="G227" i="3"/>
  <c r="G226" i="3"/>
  <c r="F231" i="3"/>
  <c r="H231" i="3"/>
  <c r="F232" i="3"/>
  <c r="H232" i="3"/>
  <c r="I232" i="3"/>
  <c r="F235" i="3"/>
  <c r="I235" i="3"/>
  <c r="G235" i="3"/>
  <c r="J235" i="3"/>
  <c r="K235" i="3"/>
  <c r="L235" i="3"/>
  <c r="G236" i="3"/>
  <c r="H237" i="3"/>
  <c r="G238" i="3"/>
  <c r="F241" i="3"/>
  <c r="F233" i="3"/>
  <c r="F230" i="3"/>
  <c r="I241" i="3"/>
  <c r="J241" i="3"/>
  <c r="J239" i="3"/>
  <c r="K241" i="3"/>
  <c r="K233" i="3"/>
  <c r="K230" i="3"/>
  <c r="L241" i="3"/>
  <c r="L239" i="3"/>
  <c r="F243" i="3"/>
  <c r="I243" i="3"/>
  <c r="J243" i="3"/>
  <c r="K243" i="3"/>
  <c r="L243" i="3"/>
  <c r="H245" i="3"/>
  <c r="H243" i="3"/>
  <c r="H247" i="3"/>
  <c r="K247" i="3"/>
  <c r="F249" i="3"/>
  <c r="F247" i="3"/>
  <c r="I249" i="3"/>
  <c r="J249" i="3"/>
  <c r="J247" i="3"/>
  <c r="K249" i="3"/>
  <c r="L249" i="3"/>
  <c r="L252" i="3"/>
  <c r="L251" i="3"/>
  <c r="G253" i="3"/>
  <c r="F254" i="3"/>
  <c r="F251" i="3"/>
  <c r="G254" i="3"/>
  <c r="H254" i="3"/>
  <c r="H251" i="3"/>
  <c r="I254" i="3"/>
  <c r="I251" i="3"/>
  <c r="J254" i="3"/>
  <c r="J251" i="3"/>
  <c r="K254" i="3"/>
  <c r="K251" i="3"/>
  <c r="L254" i="3"/>
  <c r="F259" i="3"/>
  <c r="H262" i="3"/>
  <c r="H259" i="3"/>
  <c r="I262" i="3"/>
  <c r="I259" i="3"/>
  <c r="J262" i="3"/>
  <c r="J259" i="3"/>
  <c r="K262" i="3"/>
  <c r="K259" i="3"/>
  <c r="L262" i="3"/>
  <c r="F264" i="3"/>
  <c r="H264" i="3"/>
  <c r="I264" i="3"/>
  <c r="J264" i="3"/>
  <c r="K264" i="3"/>
  <c r="L264" i="3"/>
  <c r="L256" i="3"/>
  <c r="L255" i="3"/>
  <c r="G265" i="3"/>
  <c r="G266" i="3"/>
  <c r="G264" i="3"/>
  <c r="F268" i="3"/>
  <c r="H268" i="3"/>
  <c r="I268" i="3"/>
  <c r="J268" i="3"/>
  <c r="K268" i="3"/>
  <c r="L268" i="3"/>
  <c r="G269" i="3"/>
  <c r="G270" i="3"/>
  <c r="G268" i="3"/>
  <c r="F272" i="3"/>
  <c r="H272" i="3"/>
  <c r="I272" i="3"/>
  <c r="J272" i="3"/>
  <c r="K272" i="3"/>
  <c r="L272" i="3"/>
  <c r="G273" i="3"/>
  <c r="G274" i="3"/>
  <c r="G232" i="3"/>
  <c r="G275" i="3"/>
  <c r="F277" i="3"/>
  <c r="H277" i="3"/>
  <c r="I277" i="3"/>
  <c r="J277" i="3"/>
  <c r="K277" i="3"/>
  <c r="L277" i="3"/>
  <c r="G278" i="3"/>
  <c r="G277" i="3"/>
  <c r="F282" i="3"/>
  <c r="H282" i="3"/>
  <c r="I282" i="3"/>
  <c r="J282" i="3"/>
  <c r="K282" i="3"/>
  <c r="L282" i="3"/>
  <c r="G283" i="3"/>
  <c r="G282" i="3"/>
  <c r="G284" i="3"/>
  <c r="F287" i="3"/>
  <c r="H287" i="3"/>
  <c r="I287" i="3"/>
  <c r="J287" i="3"/>
  <c r="K287" i="3"/>
  <c r="L287" i="3"/>
  <c r="G288" i="3"/>
  <c r="G289" i="3"/>
  <c r="G290" i="3"/>
  <c r="F292" i="3"/>
  <c r="I292" i="3"/>
  <c r="J292" i="3"/>
  <c r="K292" i="3"/>
  <c r="L292" i="3"/>
  <c r="G293" i="3"/>
  <c r="G294" i="3"/>
  <c r="H295" i="3"/>
  <c r="H297" i="3"/>
  <c r="G297" i="3"/>
  <c r="I297" i="3"/>
  <c r="J297" i="3"/>
  <c r="K297" i="3"/>
  <c r="L297" i="3"/>
  <c r="G300" i="3"/>
  <c r="J302" i="3"/>
  <c r="K302" i="3"/>
  <c r="L302" i="3"/>
  <c r="J307" i="3"/>
  <c r="K307" i="3"/>
  <c r="L307" i="3"/>
  <c r="I312" i="3"/>
  <c r="J312" i="3"/>
  <c r="K312" i="3"/>
  <c r="L312" i="3"/>
  <c r="F337" i="3"/>
  <c r="H337" i="3"/>
  <c r="I337" i="3"/>
  <c r="G340" i="3"/>
  <c r="G337" i="3"/>
  <c r="F342" i="3"/>
  <c r="G342" i="3"/>
  <c r="H342" i="3"/>
  <c r="I342" i="3"/>
  <c r="J342" i="3"/>
  <c r="K342" i="3"/>
  <c r="L342" i="3"/>
  <c r="G345" i="3"/>
  <c r="F347" i="3"/>
  <c r="I347" i="3"/>
  <c r="J347" i="3"/>
  <c r="K347" i="3"/>
  <c r="L347" i="3"/>
  <c r="H350" i="3"/>
  <c r="H335" i="3"/>
  <c r="H332" i="3"/>
  <c r="F352" i="3"/>
  <c r="I352" i="3"/>
  <c r="J352" i="3"/>
  <c r="K352" i="3"/>
  <c r="L352" i="3"/>
  <c r="H355" i="3"/>
  <c r="H352" i="3"/>
  <c r="F357" i="3"/>
  <c r="F362" i="3"/>
  <c r="H362" i="3"/>
  <c r="I362" i="3"/>
  <c r="J362" i="3"/>
  <c r="K362" i="3"/>
  <c r="L362" i="3"/>
  <c r="G365" i="3"/>
  <c r="H367" i="3"/>
  <c r="I367" i="3"/>
  <c r="J367" i="3"/>
  <c r="K367" i="3"/>
  <c r="L367" i="3"/>
  <c r="G370" i="3"/>
  <c r="F378" i="3"/>
  <c r="F377" i="3"/>
  <c r="F373" i="3"/>
  <c r="F372" i="3"/>
  <c r="G378" i="3"/>
  <c r="G373" i="3"/>
  <c r="H378" i="3"/>
  <c r="H377" i="3"/>
  <c r="H373" i="3"/>
  <c r="I378" i="3"/>
  <c r="I373" i="3"/>
  <c r="J378" i="3"/>
  <c r="J377" i="3"/>
  <c r="K378" i="3"/>
  <c r="L378" i="3"/>
  <c r="F379" i="3"/>
  <c r="F374" i="3"/>
  <c r="F443" i="3"/>
  <c r="G379" i="3"/>
  <c r="G374" i="3"/>
  <c r="H379" i="3"/>
  <c r="H374" i="3"/>
  <c r="I379" i="3"/>
  <c r="J379" i="3"/>
  <c r="J374" i="3"/>
  <c r="K379" i="3"/>
  <c r="K374" i="3"/>
  <c r="K443" i="3"/>
  <c r="L379" i="3"/>
  <c r="L374" i="3"/>
  <c r="F380" i="3"/>
  <c r="F375" i="3"/>
  <c r="I380" i="3"/>
  <c r="I375" i="3"/>
  <c r="J380" i="3"/>
  <c r="J375" i="3"/>
  <c r="K380" i="3"/>
  <c r="K375" i="3"/>
  <c r="F381" i="3"/>
  <c r="F376" i="3"/>
  <c r="F445" i="3"/>
  <c r="G381" i="3"/>
  <c r="G376" i="3"/>
  <c r="H381" i="3"/>
  <c r="H376" i="3"/>
  <c r="H445" i="3"/>
  <c r="I381" i="3"/>
  <c r="I376" i="3"/>
  <c r="J381" i="3"/>
  <c r="J376" i="3"/>
  <c r="J445" i="3"/>
  <c r="K381" i="3"/>
  <c r="K376" i="3"/>
  <c r="L381" i="3"/>
  <c r="L377" i="3"/>
  <c r="L376" i="3"/>
  <c r="L445" i="3"/>
  <c r="F382" i="3"/>
  <c r="I382" i="3"/>
  <c r="J382" i="3"/>
  <c r="K382" i="3"/>
  <c r="L382" i="3"/>
  <c r="H385" i="3"/>
  <c r="H382" i="3"/>
  <c r="G385" i="3"/>
  <c r="F388" i="3"/>
  <c r="G388" i="3"/>
  <c r="H388" i="3"/>
  <c r="H387" i="3"/>
  <c r="I388" i="3"/>
  <c r="J388" i="3"/>
  <c r="K388" i="3"/>
  <c r="K387" i="3"/>
  <c r="L388" i="3"/>
  <c r="F389" i="3"/>
  <c r="G389" i="3"/>
  <c r="H389" i="3"/>
  <c r="I389" i="3"/>
  <c r="J389" i="3"/>
  <c r="J443" i="3"/>
  <c r="K389" i="3"/>
  <c r="L389" i="3"/>
  <c r="F390" i="3"/>
  <c r="H390" i="3"/>
  <c r="J390" i="3"/>
  <c r="K390" i="3"/>
  <c r="L390" i="3"/>
  <c r="F391" i="3"/>
  <c r="G391" i="3"/>
  <c r="H391" i="3"/>
  <c r="I391" i="3"/>
  <c r="J391" i="3"/>
  <c r="K391" i="3"/>
  <c r="L391" i="3"/>
  <c r="F392" i="3"/>
  <c r="H392" i="3"/>
  <c r="J392" i="3"/>
  <c r="K392" i="3"/>
  <c r="L392" i="3"/>
  <c r="I395" i="3"/>
  <c r="H397" i="3"/>
  <c r="J397" i="3"/>
  <c r="K397" i="3"/>
  <c r="L397" i="3"/>
  <c r="I413" i="3"/>
  <c r="J413" i="3"/>
  <c r="K413" i="3"/>
  <c r="L413" i="3"/>
  <c r="H414" i="3"/>
  <c r="H413" i="3"/>
  <c r="H420" i="3"/>
  <c r="H417" i="3"/>
  <c r="J420" i="3"/>
  <c r="K420" i="3"/>
  <c r="K445" i="3"/>
  <c r="H421" i="3"/>
  <c r="I421" i="3"/>
  <c r="J421" i="3"/>
  <c r="K421" i="3"/>
  <c r="L421" i="3"/>
  <c r="L417" i="3"/>
  <c r="G424" i="3"/>
  <c r="G420" i="3"/>
  <c r="G425" i="3"/>
  <c r="H425" i="3"/>
  <c r="I425" i="3"/>
  <c r="J425" i="3"/>
  <c r="J417" i="3"/>
  <c r="K425" i="3"/>
  <c r="G428" i="3"/>
  <c r="G457" i="3"/>
  <c r="I457" i="3"/>
  <c r="J457" i="3"/>
  <c r="K457" i="3"/>
  <c r="K557" i="3"/>
  <c r="L457" i="3"/>
  <c r="F459" i="3"/>
  <c r="F559" i="3"/>
  <c r="G459" i="3"/>
  <c r="H459" i="3"/>
  <c r="H559" i="3"/>
  <c r="I459" i="3"/>
  <c r="J459" i="3"/>
  <c r="K459" i="3"/>
  <c r="K559" i="3"/>
  <c r="L459" i="3"/>
  <c r="F462" i="3"/>
  <c r="F460" i="3"/>
  <c r="J462" i="3"/>
  <c r="J460" i="3"/>
  <c r="K462" i="3"/>
  <c r="L462" i="3"/>
  <c r="L458" i="3"/>
  <c r="L558" i="3"/>
  <c r="L460" i="3"/>
  <c r="F464" i="3"/>
  <c r="J464" i="3"/>
  <c r="K464" i="3"/>
  <c r="L464" i="3"/>
  <c r="H466" i="3"/>
  <c r="F468" i="3"/>
  <c r="I468" i="3"/>
  <c r="J468" i="3"/>
  <c r="K468" i="3"/>
  <c r="L468" i="3"/>
  <c r="H470" i="3"/>
  <c r="F472" i="3"/>
  <c r="H472" i="3"/>
  <c r="I472" i="3"/>
  <c r="J472" i="3"/>
  <c r="K472" i="3"/>
  <c r="L472" i="3"/>
  <c r="G474" i="3"/>
  <c r="F477" i="3"/>
  <c r="F457" i="3"/>
  <c r="F476" i="3"/>
  <c r="H477" i="3"/>
  <c r="I477" i="3"/>
  <c r="J477" i="3"/>
  <c r="K477" i="3"/>
  <c r="K476" i="3"/>
  <c r="L477" i="3"/>
  <c r="F478" i="3"/>
  <c r="J478" i="3"/>
  <c r="K478" i="3"/>
  <c r="L478" i="3"/>
  <c r="L476" i="3"/>
  <c r="F480" i="3"/>
  <c r="J480" i="3"/>
  <c r="K480" i="3"/>
  <c r="L480" i="3"/>
  <c r="H482" i="3"/>
  <c r="H480" i="3"/>
  <c r="F484" i="3"/>
  <c r="H484" i="3"/>
  <c r="J484" i="3"/>
  <c r="K484" i="3"/>
  <c r="L484" i="3"/>
  <c r="F488" i="3"/>
  <c r="I488" i="3"/>
  <c r="J488" i="3"/>
  <c r="K488" i="3"/>
  <c r="L488" i="3"/>
  <c r="H490" i="3"/>
  <c r="H488" i="3"/>
  <c r="F492" i="3"/>
  <c r="H492" i="3"/>
  <c r="I492" i="3"/>
  <c r="J492" i="3"/>
  <c r="G492" i="3"/>
  <c r="K492" i="3"/>
  <c r="L492" i="3"/>
  <c r="G494" i="3"/>
  <c r="F496" i="3"/>
  <c r="H496" i="3"/>
  <c r="I496" i="3"/>
  <c r="J496" i="3"/>
  <c r="G496" i="3"/>
  <c r="K496" i="3"/>
  <c r="L496" i="3"/>
  <c r="G498" i="3"/>
  <c r="F500" i="3"/>
  <c r="H500" i="3"/>
  <c r="I500" i="3"/>
  <c r="J500" i="3"/>
  <c r="G500" i="3"/>
  <c r="K500" i="3"/>
  <c r="L500" i="3"/>
  <c r="G501" i="3"/>
  <c r="G502" i="3"/>
  <c r="F509" i="3"/>
  <c r="G509" i="3"/>
  <c r="H509" i="3"/>
  <c r="I509" i="3"/>
  <c r="J509" i="3"/>
  <c r="K509" i="3"/>
  <c r="L509" i="3"/>
  <c r="F510" i="3"/>
  <c r="H510" i="3"/>
  <c r="J510" i="3"/>
  <c r="K510" i="3"/>
  <c r="K558" i="3"/>
  <c r="K556" i="3"/>
  <c r="L510" i="3"/>
  <c r="F511" i="3"/>
  <c r="G511" i="3"/>
  <c r="H511" i="3"/>
  <c r="I511" i="3"/>
  <c r="I559" i="3"/>
  <c r="J511" i="3"/>
  <c r="J559" i="3"/>
  <c r="K511" i="3"/>
  <c r="L511" i="3"/>
  <c r="L559" i="3"/>
  <c r="F512" i="3"/>
  <c r="H512" i="3"/>
  <c r="I512" i="3"/>
  <c r="J512" i="3"/>
  <c r="K512" i="3"/>
  <c r="L512" i="3"/>
  <c r="G514" i="3"/>
  <c r="G512" i="3"/>
  <c r="H516" i="3"/>
  <c r="L516" i="3"/>
  <c r="F528" i="3"/>
  <c r="K528" i="3"/>
  <c r="L528" i="3"/>
  <c r="G529" i="3"/>
  <c r="H530" i="3"/>
  <c r="H528" i="3"/>
  <c r="J530" i="3"/>
  <c r="J528" i="3"/>
  <c r="J526" i="3"/>
  <c r="K530" i="3"/>
  <c r="K526" i="3"/>
  <c r="F532" i="3"/>
  <c r="J532" i="3"/>
  <c r="K532" i="3"/>
  <c r="L532" i="3"/>
  <c r="H534" i="3"/>
  <c r="H526" i="3"/>
  <c r="G526" i="3"/>
  <c r="G524" i="3"/>
  <c r="F536" i="3"/>
  <c r="J536" i="3"/>
  <c r="K536" i="3"/>
  <c r="L536" i="3"/>
  <c r="H538" i="3"/>
  <c r="G538" i="3"/>
  <c r="G536" i="3"/>
  <c r="H536" i="3"/>
  <c r="H540" i="3"/>
  <c r="J540" i="3"/>
  <c r="K540" i="3"/>
  <c r="L540" i="3"/>
  <c r="I544" i="3"/>
  <c r="J544" i="3"/>
  <c r="K544" i="3"/>
  <c r="G546" i="3"/>
  <c r="G544" i="3"/>
  <c r="F549" i="3"/>
  <c r="G549" i="3"/>
  <c r="G548" i="3"/>
  <c r="H549" i="3"/>
  <c r="H548" i="3"/>
  <c r="I549" i="3"/>
  <c r="J549" i="3"/>
  <c r="K549" i="3"/>
  <c r="K548" i="3"/>
  <c r="L549" i="3"/>
  <c r="L548" i="3"/>
  <c r="F550" i="3"/>
  <c r="H550" i="3"/>
  <c r="J550" i="3"/>
  <c r="J548" i="3"/>
  <c r="K550" i="3"/>
  <c r="L550" i="3"/>
  <c r="F551" i="3"/>
  <c r="G551" i="3"/>
  <c r="H551" i="3"/>
  <c r="I551" i="3"/>
  <c r="J551" i="3"/>
  <c r="K551" i="3"/>
  <c r="L551" i="3"/>
  <c r="J552" i="3"/>
  <c r="K552" i="3"/>
  <c r="F574" i="3"/>
  <c r="F634" i="3"/>
  <c r="F576" i="3"/>
  <c r="F577" i="3"/>
  <c r="J577" i="3"/>
  <c r="J573" i="3"/>
  <c r="J571" i="3"/>
  <c r="K577" i="3"/>
  <c r="K575" i="3"/>
  <c r="K573" i="3"/>
  <c r="K571" i="3"/>
  <c r="L577" i="3"/>
  <c r="L575" i="3"/>
  <c r="L573" i="3"/>
  <c r="F579" i="3"/>
  <c r="J579" i="3"/>
  <c r="K579" i="3"/>
  <c r="H581" i="3"/>
  <c r="H579" i="3"/>
  <c r="F583" i="3"/>
  <c r="H583" i="3"/>
  <c r="I583" i="3"/>
  <c r="J583" i="3"/>
  <c r="G583" i="3"/>
  <c r="K583" i="3"/>
  <c r="L583" i="3"/>
  <c r="G585" i="3"/>
  <c r="G588" i="3"/>
  <c r="H588" i="3"/>
  <c r="H632" i="3"/>
  <c r="I588" i="3"/>
  <c r="J588" i="3"/>
  <c r="K588" i="3"/>
  <c r="K632" i="3"/>
  <c r="L588" i="3"/>
  <c r="F590" i="3"/>
  <c r="G590" i="3"/>
  <c r="G634" i="3"/>
  <c r="H590" i="3"/>
  <c r="I590" i="3"/>
  <c r="I634" i="3"/>
  <c r="J590" i="3"/>
  <c r="J587" i="3"/>
  <c r="K590" i="3"/>
  <c r="L590" i="3"/>
  <c r="F592" i="3"/>
  <c r="F588" i="3"/>
  <c r="F587" i="3"/>
  <c r="F593" i="3"/>
  <c r="F589" i="3"/>
  <c r="H593" i="3"/>
  <c r="H591" i="3"/>
  <c r="I593" i="3"/>
  <c r="I591" i="3"/>
  <c r="G591" i="3"/>
  <c r="I589" i="3"/>
  <c r="I587" i="3"/>
  <c r="G587" i="3"/>
  <c r="J593" i="3"/>
  <c r="J589" i="3"/>
  <c r="K593" i="3"/>
  <c r="K591" i="3"/>
  <c r="L593" i="3"/>
  <c r="L591" i="3"/>
  <c r="L589" i="3"/>
  <c r="L587" i="3"/>
  <c r="F595" i="3"/>
  <c r="H595" i="3"/>
  <c r="I595" i="3"/>
  <c r="G595" i="3"/>
  <c r="J595" i="3"/>
  <c r="K595" i="3"/>
  <c r="L595" i="3"/>
  <c r="G597" i="3"/>
  <c r="F599" i="3"/>
  <c r="H599" i="3"/>
  <c r="I599" i="3"/>
  <c r="G599" i="3"/>
  <c r="J599" i="3"/>
  <c r="K599" i="3"/>
  <c r="L599" i="3"/>
  <c r="G601" i="3"/>
  <c r="F604" i="3"/>
  <c r="F603" i="3"/>
  <c r="G604" i="3"/>
  <c r="H604" i="3"/>
  <c r="H603" i="3"/>
  <c r="I604" i="3"/>
  <c r="J604" i="3"/>
  <c r="K604" i="3"/>
  <c r="L604" i="3"/>
  <c r="F606" i="3"/>
  <c r="G606" i="3"/>
  <c r="H606" i="3"/>
  <c r="H634" i="3"/>
  <c r="I606" i="3"/>
  <c r="J606" i="3"/>
  <c r="J634" i="3"/>
  <c r="K606" i="3"/>
  <c r="K634" i="3"/>
  <c r="L606" i="3"/>
  <c r="L634" i="3"/>
  <c r="F609" i="3"/>
  <c r="F607" i="3"/>
  <c r="H609" i="3"/>
  <c r="H607" i="3"/>
  <c r="J609" i="3"/>
  <c r="L609" i="3"/>
  <c r="L607" i="3"/>
  <c r="L605" i="3"/>
  <c r="L603" i="3"/>
  <c r="F611" i="3"/>
  <c r="H611" i="3"/>
  <c r="J611" i="3"/>
  <c r="L611" i="3"/>
  <c r="F615" i="3"/>
  <c r="H615" i="3"/>
  <c r="I615" i="3"/>
  <c r="G615" i="3"/>
  <c r="J615" i="3"/>
  <c r="K615" i="3"/>
  <c r="L615" i="3"/>
  <c r="G617" i="3"/>
  <c r="F620" i="3"/>
  <c r="F621" i="3"/>
  <c r="F619" i="3"/>
  <c r="H621" i="3"/>
  <c r="H619" i="3"/>
  <c r="I621" i="3"/>
  <c r="I619" i="3"/>
  <c r="J621" i="3"/>
  <c r="K621" i="3"/>
  <c r="K619" i="3"/>
  <c r="F623" i="3"/>
  <c r="H623" i="3"/>
  <c r="I623" i="3"/>
  <c r="J623" i="3"/>
  <c r="K623" i="3"/>
  <c r="L625" i="3"/>
  <c r="L623" i="3"/>
  <c r="F627" i="3"/>
  <c r="H627" i="3"/>
  <c r="I627" i="3"/>
  <c r="J627" i="3"/>
  <c r="K627" i="3"/>
  <c r="L627" i="3"/>
  <c r="G629" i="3"/>
  <c r="G627" i="3"/>
  <c r="J632" i="3"/>
  <c r="F638" i="3"/>
  <c r="F639" i="3"/>
  <c r="F332" i="3"/>
  <c r="I557" i="3"/>
  <c r="H188" i="3"/>
  <c r="H187" i="3"/>
  <c r="K74" i="3"/>
  <c r="J619" i="3"/>
  <c r="I632" i="3"/>
  <c r="H605" i="3"/>
  <c r="H577" i="3"/>
  <c r="H573" i="3"/>
  <c r="L456" i="3"/>
  <c r="I247" i="3"/>
  <c r="H92" i="3"/>
  <c r="G33" i="3"/>
  <c r="J174" i="3"/>
  <c r="I332" i="3"/>
  <c r="L632" i="3"/>
  <c r="H380" i="3"/>
  <c r="H375" i="3"/>
  <c r="H372" i="3"/>
  <c r="J104" i="3"/>
  <c r="F458" i="3"/>
  <c r="F558" i="3"/>
  <c r="G355" i="3"/>
  <c r="G352" i="3"/>
  <c r="K22" i="3"/>
  <c r="G22" i="3"/>
  <c r="G488" i="3"/>
  <c r="G421" i="3"/>
  <c r="G417" i="3"/>
  <c r="F572" i="3"/>
  <c r="F632" i="3"/>
  <c r="G367" i="3"/>
  <c r="L247" i="3"/>
  <c r="G193" i="3"/>
  <c r="J74" i="3"/>
  <c r="J72" i="3"/>
  <c r="J76" i="3"/>
  <c r="H13" i="3"/>
  <c r="H10" i="3"/>
  <c r="H212" i="3"/>
  <c r="H209" i="3"/>
  <c r="F86" i="3"/>
  <c r="F70" i="3"/>
  <c r="F84" i="3"/>
  <c r="F52" i="3"/>
  <c r="H575" i="3"/>
  <c r="H571" i="3"/>
  <c r="G571" i="3"/>
  <c r="G516" i="3"/>
  <c r="H508" i="3"/>
  <c r="I526" i="3"/>
  <c r="I524" i="3"/>
  <c r="G262" i="3"/>
  <c r="K405" i="3"/>
  <c r="H457" i="3"/>
  <c r="H557" i="3"/>
  <c r="L373" i="3"/>
  <c r="H443" i="3"/>
  <c r="L387" i="3"/>
  <c r="J373" i="3"/>
  <c r="J442" i="3"/>
  <c r="G552" i="3"/>
  <c r="I552" i="3"/>
  <c r="I550" i="3"/>
  <c r="I548" i="3"/>
  <c r="G134" i="3"/>
  <c r="I607" i="3"/>
  <c r="I611" i="3"/>
  <c r="G611" i="3"/>
  <c r="I88" i="3"/>
  <c r="G88" i="3"/>
  <c r="I72" i="3"/>
  <c r="G154" i="3"/>
  <c r="G152" i="3"/>
  <c r="I150" i="3"/>
  <c r="I148" i="3"/>
  <c r="G150" i="3"/>
  <c r="G148" i="3"/>
  <c r="L571" i="3"/>
  <c r="K589" i="3"/>
  <c r="K587" i="3"/>
  <c r="H462" i="3"/>
  <c r="H241" i="3"/>
  <c r="H233" i="3"/>
  <c r="F187" i="3"/>
  <c r="H56" i="3"/>
  <c r="H53" i="3"/>
  <c r="H406" i="3"/>
  <c r="H405" i="3"/>
  <c r="I579" i="3"/>
  <c r="I577" i="3"/>
  <c r="I573" i="3"/>
  <c r="I571" i="3"/>
  <c r="H140" i="3"/>
  <c r="G140" i="3"/>
  <c r="F442" i="3"/>
  <c r="G188" i="3"/>
  <c r="G13" i="3"/>
  <c r="G176" i="3"/>
  <c r="K192" i="3"/>
  <c r="L9" i="3"/>
  <c r="J591" i="3"/>
  <c r="F508" i="3"/>
  <c r="G414" i="3"/>
  <c r="G413" i="3"/>
  <c r="L443" i="3"/>
  <c r="G295" i="3"/>
  <c r="G292" i="3"/>
  <c r="H292" i="3"/>
  <c r="L259" i="3"/>
  <c r="L233" i="3"/>
  <c r="G245" i="3"/>
  <c r="G243" i="3"/>
  <c r="H235" i="3"/>
  <c r="G237" i="3"/>
  <c r="G233" i="3"/>
  <c r="G230" i="3"/>
  <c r="G108" i="3"/>
  <c r="G77" i="3"/>
  <c r="H73" i="3"/>
  <c r="F72" i="3"/>
  <c r="K524" i="3"/>
  <c r="I478" i="3"/>
  <c r="G478" i="3"/>
  <c r="I476" i="3"/>
  <c r="G542" i="3"/>
  <c r="G540" i="3"/>
  <c r="G581" i="3"/>
  <c r="H18" i="3"/>
  <c r="H174" i="3"/>
  <c r="G174" i="3"/>
  <c r="G638" i="3"/>
  <c r="K70" i="3"/>
  <c r="G632" i="3"/>
  <c r="J476" i="3"/>
  <c r="K458" i="3"/>
  <c r="K460" i="3"/>
  <c r="K456" i="3"/>
  <c r="G445" i="3"/>
  <c r="G116" i="3"/>
  <c r="I30" i="3"/>
  <c r="K187" i="3"/>
  <c r="I462" i="3"/>
  <c r="I458" i="3"/>
  <c r="G458" i="3"/>
  <c r="G410" i="3"/>
  <c r="L442" i="3"/>
  <c r="G477" i="3"/>
  <c r="G486" i="3"/>
  <c r="G397" i="3"/>
  <c r="G34" i="3"/>
  <c r="H120" i="3"/>
  <c r="H347" i="3"/>
  <c r="K72" i="3"/>
  <c r="G484" i="3"/>
  <c r="H464" i="3"/>
  <c r="K417" i="3"/>
  <c r="G350" i="3"/>
  <c r="G347" i="3"/>
  <c r="I239" i="3"/>
  <c r="L53" i="3"/>
  <c r="L52" i="3"/>
  <c r="H30" i="3"/>
  <c r="G23" i="3"/>
  <c r="L187" i="3"/>
  <c r="K611" i="3"/>
  <c r="I76" i="3"/>
  <c r="G194" i="3"/>
  <c r="G190" i="3"/>
  <c r="G187" i="3"/>
  <c r="I417" i="3"/>
  <c r="G287" i="3"/>
  <c r="F30" i="3"/>
  <c r="I18" i="3"/>
  <c r="G409" i="3"/>
  <c r="H69" i="3"/>
  <c r="H72" i="3"/>
  <c r="I575" i="3"/>
  <c r="F172" i="3"/>
  <c r="G241" i="3"/>
  <c r="G239" i="3"/>
  <c r="H239" i="3"/>
  <c r="H460" i="3"/>
  <c r="I460" i="3"/>
  <c r="H52" i="3"/>
  <c r="H230" i="3"/>
  <c r="G573" i="3"/>
  <c r="G557" i="3"/>
  <c r="F456" i="3"/>
  <c r="F557" i="3"/>
  <c r="F556" i="3"/>
  <c r="G443" i="3"/>
  <c r="G53" i="3"/>
  <c r="G52" i="3"/>
  <c r="G56" i="3"/>
  <c r="F637" i="3"/>
  <c r="I456" i="3"/>
  <c r="G456" i="3"/>
  <c r="G69" i="3"/>
  <c r="F441" i="3"/>
  <c r="G559" i="3"/>
  <c r="G639" i="3"/>
  <c r="K373" i="3"/>
  <c r="K377" i="3"/>
  <c r="G335" i="3"/>
  <c r="G332" i="3"/>
  <c r="H442" i="3"/>
  <c r="H71" i="3"/>
  <c r="H176" i="3"/>
  <c r="H639" i="3"/>
  <c r="H84" i="3"/>
  <c r="K9" i="3"/>
  <c r="H524" i="3"/>
  <c r="G460" i="3"/>
  <c r="I9" i="3"/>
  <c r="I464" i="3"/>
  <c r="G464" i="3"/>
  <c r="G10" i="3"/>
  <c r="G11" i="3"/>
  <c r="H444" i="3"/>
  <c r="I442" i="3"/>
  <c r="I636" i="3"/>
  <c r="J575" i="3"/>
  <c r="G575" i="3"/>
  <c r="G78" i="3"/>
  <c r="G76" i="3"/>
  <c r="F573" i="3"/>
  <c r="F633" i="3"/>
  <c r="F631" i="3"/>
  <c r="F575" i="3"/>
  <c r="F571" i="3"/>
  <c r="L508" i="3"/>
  <c r="L557" i="3"/>
  <c r="L556" i="3"/>
  <c r="G395" i="3"/>
  <c r="I390" i="3"/>
  <c r="I387" i="3"/>
  <c r="G380" i="3"/>
  <c r="G382" i="3"/>
  <c r="I374" i="3"/>
  <c r="I377" i="3"/>
  <c r="K239" i="3"/>
  <c r="K444" i="3"/>
  <c r="L69" i="3"/>
  <c r="L72" i="3"/>
  <c r="H638" i="3"/>
  <c r="G462" i="3"/>
  <c r="L56" i="3"/>
  <c r="H532" i="3"/>
  <c r="G577" i="3"/>
  <c r="H478" i="3"/>
  <c r="G530" i="3"/>
  <c r="G528" i="3"/>
  <c r="F68" i="3"/>
  <c r="L372" i="3"/>
  <c r="H173" i="3"/>
  <c r="G192" i="3"/>
  <c r="J458" i="3"/>
  <c r="J30" i="3"/>
  <c r="G30" i="3"/>
  <c r="F239" i="3"/>
  <c r="G625" i="3"/>
  <c r="L621" i="3"/>
  <c r="K609" i="3"/>
  <c r="H589" i="3"/>
  <c r="G593" i="3"/>
  <c r="G579" i="3"/>
  <c r="G534" i="3"/>
  <c r="G532" i="3"/>
  <c r="K508" i="3"/>
  <c r="G490" i="3"/>
  <c r="G470" i="3"/>
  <c r="H468" i="3"/>
  <c r="G468" i="3"/>
  <c r="G259" i="3"/>
  <c r="G48" i="3"/>
  <c r="J9" i="3"/>
  <c r="L176" i="3"/>
  <c r="L639" i="3"/>
  <c r="G20" i="3"/>
  <c r="G18" i="3"/>
  <c r="G210" i="3"/>
  <c r="G442" i="3"/>
  <c r="F591" i="3"/>
  <c r="G120" i="3"/>
  <c r="G406" i="3"/>
  <c r="G405" i="3"/>
  <c r="I212" i="3"/>
  <c r="I209" i="3"/>
  <c r="J233" i="3"/>
  <c r="J230" i="3"/>
  <c r="G482" i="3"/>
  <c r="J70" i="3"/>
  <c r="J68" i="3"/>
  <c r="G73" i="3"/>
  <c r="G72" i="3"/>
  <c r="F9" i="3"/>
  <c r="J372" i="3"/>
  <c r="H587" i="3"/>
  <c r="I392" i="3"/>
  <c r="J605" i="3"/>
  <c r="J603" i="3"/>
  <c r="J607" i="3"/>
  <c r="J508" i="3"/>
  <c r="G249" i="3"/>
  <c r="G247" i="3"/>
  <c r="G251" i="3"/>
  <c r="J190" i="3"/>
  <c r="J192" i="3"/>
  <c r="F444" i="3"/>
  <c r="G112" i="3"/>
  <c r="G102" i="3"/>
  <c r="G100" i="3"/>
  <c r="H70" i="3"/>
  <c r="H68" i="3"/>
  <c r="G74" i="3"/>
  <c r="K30" i="3"/>
  <c r="L444" i="3"/>
  <c r="L441" i="3"/>
  <c r="J209" i="3"/>
  <c r="L230" i="3"/>
  <c r="J405" i="3"/>
  <c r="G510" i="3"/>
  <c r="J387" i="3"/>
  <c r="F387" i="3"/>
  <c r="G272" i="3"/>
  <c r="G128" i="3"/>
  <c r="G60" i="3"/>
  <c r="K175" i="3"/>
  <c r="K637" i="3"/>
  <c r="I52" i="3"/>
  <c r="I176" i="3"/>
  <c r="G14" i="3"/>
  <c r="J524" i="3"/>
  <c r="F548" i="3"/>
  <c r="I508" i="3"/>
  <c r="G508" i="3"/>
  <c r="G472" i="3"/>
  <c r="J557" i="3"/>
  <c r="I445" i="3"/>
  <c r="G362" i="3"/>
  <c r="K176" i="3"/>
  <c r="K639" i="3"/>
  <c r="G39" i="3"/>
  <c r="H12" i="3"/>
  <c r="G375" i="3"/>
  <c r="G372" i="3"/>
  <c r="G377" i="3"/>
  <c r="K372" i="3"/>
  <c r="K442" i="3"/>
  <c r="G12" i="3"/>
  <c r="H175" i="3"/>
  <c r="H9" i="3"/>
  <c r="G9" i="3"/>
  <c r="I639" i="3"/>
  <c r="J187" i="3"/>
  <c r="J444" i="3"/>
  <c r="J441" i="3"/>
  <c r="G209" i="3"/>
  <c r="H441" i="3"/>
  <c r="L619" i="3"/>
  <c r="L633" i="3"/>
  <c r="L631" i="3"/>
  <c r="J558" i="3"/>
  <c r="J456" i="3"/>
  <c r="G390" i="3"/>
  <c r="G387" i="3"/>
  <c r="G392" i="3"/>
  <c r="G212" i="3"/>
  <c r="J556" i="3"/>
  <c r="G623" i="3"/>
  <c r="G621" i="3"/>
  <c r="G619" i="3"/>
  <c r="H633" i="3"/>
  <c r="H631" i="3"/>
  <c r="J633" i="3"/>
  <c r="J631" i="3"/>
  <c r="H172" i="3"/>
  <c r="H636" i="3"/>
  <c r="K607" i="3"/>
  <c r="G607" i="3"/>
  <c r="G609" i="3"/>
  <c r="K605" i="3"/>
  <c r="G605" i="3"/>
  <c r="H476" i="3"/>
  <c r="G476" i="3"/>
  <c r="L68" i="3"/>
  <c r="L173" i="3"/>
  <c r="I372" i="3"/>
  <c r="I443" i="3"/>
  <c r="I638" i="3"/>
  <c r="H458" i="3"/>
  <c r="J175" i="3"/>
  <c r="G175" i="3"/>
  <c r="F636" i="3"/>
  <c r="F635" i="3"/>
  <c r="K441" i="3"/>
  <c r="L172" i="3"/>
  <c r="L636" i="3"/>
  <c r="L635" i="3"/>
  <c r="L637" i="3"/>
  <c r="H558" i="3"/>
  <c r="H456" i="3"/>
  <c r="K603" i="3"/>
  <c r="G603" i="3"/>
  <c r="K633" i="3"/>
  <c r="K631" i="3"/>
  <c r="H556" i="3"/>
  <c r="H637" i="3"/>
  <c r="H635" i="3"/>
  <c r="G94" i="3"/>
  <c r="I86" i="3"/>
  <c r="G86" i="3"/>
  <c r="G84" i="3"/>
  <c r="I84" i="3"/>
  <c r="I70" i="3"/>
  <c r="I68" i="3"/>
  <c r="I233" i="3"/>
  <c r="I230" i="3"/>
  <c r="G173" i="3"/>
  <c r="G636" i="3"/>
  <c r="K172" i="3"/>
  <c r="J173" i="3"/>
  <c r="K52" i="3"/>
  <c r="J637" i="3"/>
  <c r="K636" i="3"/>
  <c r="K635" i="3"/>
  <c r="G444" i="3"/>
  <c r="I441" i="3"/>
  <c r="G172" i="3"/>
  <c r="J636" i="3"/>
  <c r="J635" i="3"/>
  <c r="J172" i="3"/>
  <c r="G441" i="3"/>
  <c r="G589" i="3"/>
  <c r="G633" i="3"/>
  <c r="I633" i="3"/>
  <c r="I631" i="3"/>
  <c r="G631" i="3"/>
  <c r="I637" i="3"/>
  <c r="I635" i="3"/>
  <c r="I556" i="3"/>
  <c r="G556" i="3"/>
  <c r="G637" i="3"/>
  <c r="G635" i="3"/>
</calcChain>
</file>

<file path=xl/sharedStrings.xml><?xml version="1.0" encoding="utf-8"?>
<sst xmlns="http://schemas.openxmlformats.org/spreadsheetml/2006/main" count="1485" uniqueCount="407">
  <si>
    <t>Задача 3. 
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</si>
  <si>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Задача 1. 
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образования, а также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</si>
  <si>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Приложение № 1</t>
  </si>
  <si>
    <t>к подпрограмме I «Дошкольное образование»</t>
  </si>
  <si>
    <t>Перечень мероприятий подпрограммы I «Дошкольное образование»</t>
  </si>
  <si>
    <t>(далее – подпрограмма)</t>
  </si>
  <si>
    <t>№п/п</t>
  </si>
  <si>
    <t>Мероприятия по реализации подпрограммы</t>
  </si>
  <si>
    <t>Перечень стандартных процедур, обеспечивающих выполнение мероприятия, с указанием предельных сроков их исполнения</t>
  </si>
  <si>
    <t>Источники финансового обеспечения</t>
  </si>
  <si>
    <t>Срок исполне-ния мероп-риятия</t>
  </si>
  <si>
    <t xml:space="preserve">Объём финансового обеспечения мероприятия в 2014 году </t>
  </si>
  <si>
    <t>Всего, (тыс. рублей)</t>
  </si>
  <si>
    <t>Объем финансового обеспечения по годам,
(тыс. рублей)</t>
  </si>
  <si>
    <t>Ответственный за выполнение мероприятия подпрограммы</t>
  </si>
  <si>
    <t>Результаты выполнения мероприятий подпрограммы</t>
  </si>
  <si>
    <t>(тыс. рублей)</t>
  </si>
  <si>
    <t>2015 год</t>
  </si>
  <si>
    <t>2016 год</t>
  </si>
  <si>
    <t>2017 год</t>
  </si>
  <si>
    <t>2018 год</t>
  </si>
  <si>
    <t>2019 год</t>
  </si>
  <si>
    <t>1.</t>
  </si>
  <si>
    <t xml:space="preserve">  Заключение соглашений о предоставлении субсидии на выполнение муниципального задания.
</t>
  </si>
  <si>
    <t>Итого</t>
  </si>
  <si>
    <t>2015-2017 годы</t>
  </si>
  <si>
    <t>Управление образования Администрации города Реутов</t>
  </si>
  <si>
    <t xml:space="preserve">Средства бюджета Московской области </t>
  </si>
  <si>
    <t xml:space="preserve">Средства местного бюджета </t>
  </si>
  <si>
    <t xml:space="preserve">Внебюджетные источники </t>
  </si>
  <si>
    <t>1.1.</t>
  </si>
  <si>
    <t xml:space="preserve">Предоставление субвенций , ежемесячно в течение финансового года </t>
  </si>
  <si>
    <t>1.2.</t>
  </si>
  <si>
    <t xml:space="preserve">Софинансирование на государственную поддержку частных дошкольных образовательных организаций с целью возмещения расходов на присмотр и уход, содержание имущества и арендную плату за использование помещений </t>
  </si>
  <si>
    <t>Итого:</t>
  </si>
  <si>
    <t>1.3.</t>
  </si>
  <si>
    <t>Предоставление субсидий по мере предоставления документов ежемесячно в течение финансового года.</t>
  </si>
  <si>
    <t>Возмещение расходов по предоставленным документам</t>
  </si>
  <si>
    <t>1.4.</t>
  </si>
  <si>
    <t>Отктытие новых дошкольных учреждений</t>
  </si>
  <si>
    <t>Оплата по договорам, счетам. Сентябрь-октябрь</t>
  </si>
  <si>
    <t>Организация открытие новых детских дошкольных учреждений</t>
  </si>
  <si>
    <t>2.</t>
  </si>
  <si>
    <t>Задача 2. 
Выплата компенсация родительской платы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</si>
  <si>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 xml:space="preserve">Начисление и выплата компенсации родительской платы за присмотр и уход за 4055 детьми, осваивающими образовательные программы дошкольного образования, осуществляющих образовательную деятельность в 2015-2019 годах </t>
  </si>
  <si>
    <t>2.1.</t>
  </si>
  <si>
    <t xml:space="preserve">Предоставление субвенций, ежемесячно в течение финансового года </t>
  </si>
  <si>
    <t>2.2.</t>
  </si>
  <si>
    <t>Оплата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</si>
  <si>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Предоставление субвенций, ежемесячно в течение финансового года</t>
  </si>
  <si>
    <t>Выплата заработной платы с начислениями сотрудникам начисляющим компенсацию</t>
  </si>
  <si>
    <t>2.3.</t>
  </si>
  <si>
    <t>Предоставление субвенций на выплату банковских процентов</t>
  </si>
  <si>
    <t>Оплата процентов банку</t>
  </si>
  <si>
    <t> Заключение соглашений о предоставлении субсидии на выполнение муниципального задания.</t>
  </si>
  <si>
    <t>2015-2019 годы</t>
  </si>
  <si>
    <t>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году, и численности детей в возрасте от 3 до 7 лет, находящихся в очереди на получение в текущем году дошкольного образования (на конец года), до 100%</t>
  </si>
  <si>
    <t>3.1.</t>
  </si>
  <si>
    <t xml:space="preserve">Оплата труда, приобретение учебников и учебных пособий, средств обучения, игр, игрушек </t>
  </si>
  <si>
    <t>Предоставление субвенций и субсидий, ежемесячно в течение финансового года</t>
  </si>
  <si>
    <t>Отношение среднемесячной заработной платы педагогических работников муниципальных образовательных организаций дошкольного образования к среднемесячной заработной плате в общеобразовательных организациях в Московской области, до 100%</t>
  </si>
  <si>
    <t>3.1.1.</t>
  </si>
  <si>
    <t>Оплата труда педагогических работников и административно-управленческого, учебно-вспомогательного персонала</t>
  </si>
  <si>
    <t xml:space="preserve">Предоставление субсидий, ежемесячно в течение финансового года </t>
  </si>
  <si>
    <t>Получение общедоступного и бесплатного дошкольного образования в муниципальных дошкольных образовательных организациях в 2015-2019 годах 4055 детьми</t>
  </si>
  <si>
    <t>3.1.2.</t>
  </si>
  <si>
    <t>Приобретение учебников и учебных пособий, средств обучения, игр, игрушек</t>
  </si>
  <si>
    <t>3.2.</t>
  </si>
  <si>
    <t>Расходы на муниципальное задание (по содержанию зданий, коммунальные услуги, прочие расходы, работы и услуги)</t>
  </si>
  <si>
    <t> Предоставление субсидий, ежемесячно в течение финансового года</t>
  </si>
  <si>
    <t>3.2.1.</t>
  </si>
  <si>
    <t>Расходы на муниципальное задание (по содержанию зданий, коммунальные услуги, прочие расходы, работы и услуги) для бюджетных организаций</t>
  </si>
  <si>
    <t>3.2.2.</t>
  </si>
  <si>
    <t>Расходы на муниципальное задание (по содержанию зданий, коммунальные услуги, прочие расходы, работы и услуги) для автономных организаций</t>
  </si>
  <si>
    <t>3.3.</t>
  </si>
  <si>
    <t>Закупка оборудования для дошкольных образовательных организаций-победителей областного конкурса на присвоение статуса Региональной инновационной площадки Московской области</t>
  </si>
  <si>
    <t>Заключение Соглашения о предоставлении субсидии. Заключение контракта</t>
  </si>
  <si>
    <t>2015-2018 годы</t>
  </si>
  <si>
    <t>3.4.</t>
  </si>
  <si>
    <t>Софинансировние на закупку оборудования для дошкольных образовательных организаций-победителей областного конкурса на присвоение статуса Региональной инновационной площадки Московской области</t>
  </si>
  <si>
    <t> Заключение соглашений по долевому участию в совинансировании.Заключение контрактов.</t>
  </si>
  <si>
    <t>3.5.</t>
  </si>
  <si>
    <t>Средства местного бюджета</t>
  </si>
  <si>
    <t>5.</t>
  </si>
  <si>
    <t>Задача 5.Повышение квалификации рукводящих кадров</t>
  </si>
  <si>
    <t>Всего по подпрограмме I:</t>
  </si>
  <si>
    <t>Внебюджет ные источники</t>
  </si>
  <si>
    <t>к подпрограмме II «Общее образование»</t>
  </si>
  <si>
    <t xml:space="preserve">Перечень мероприятий подпрограммы II «Общее образование» </t>
  </si>
  <si>
    <t>  Заключение соглашений о предоставлении субсидии на выполнение муниципального задания.</t>
  </si>
  <si>
    <t>Средства бюджета Московской области</t>
  </si>
  <si>
    <t xml:space="preserve">Средства федерального бюджета </t>
  </si>
  <si>
    <t>Предоставление субвенций муниципальным учреждениям ежемесячно и ежегодно</t>
  </si>
  <si>
    <t>Отношение среднемесячной заработной платы педагогических работников муниципальных общеобразовательных организаций образования к среднемесячной заработной плате в общеобразовательных организациях в Московской области, до 100%</t>
  </si>
  <si>
    <t>Обеспечение ия общеобразовательных учреждений – победителей областного конкурсного отбора муниципальных проектов совершенствования организации питания обучающихся</t>
  </si>
  <si>
    <t>Оплата услуг по неограниченному широкополосному круглосуточному доступу к информационно-телекоммуникаци-онной сети "Интернет" муниципальных общеобразователь-ных организаций, реализующих основные общеобразова-тельные программы в части обучения детей-инвалидов на дому с использованием дистанционных образовательных технологий</t>
  </si>
  <si>
    <t xml:space="preserve">Предоставление субвенций муниципальным учреждениям ежемесячно </t>
  </si>
  <si>
    <t>Оплата классным руководителям вознаграждения</t>
  </si>
  <si>
    <t>Предоставление субсидий для бюджетных общеобразовательных организаций на выполнение муниципального задания</t>
  </si>
  <si>
    <t xml:space="preserve">Предоставление субсидий для автономных общеобразовательных организаций на выполнение муниципального задания </t>
  </si>
  <si>
    <t>Предоставление субсидий для коррекционных общеобразовательных организаций (Лучик) на выполнение муниципального задания</t>
  </si>
  <si>
    <t>Предоставление субсидий муниципальным учреждениям ежемесячно и ежегодно</t>
  </si>
  <si>
    <t>3.</t>
  </si>
  <si>
    <t>Проведение процедур размещения муниципального заказа во II квартале. Реализация в IV квартале</t>
  </si>
  <si>
    <t>Осуществлены закупки учебников, учебных пособий и художествен ной литературы для муниципальных образователь ных учреждений, реализующих программы общего образования</t>
  </si>
  <si>
    <t>Заключение соглашений о предоставлении субсидии на выполнение муниципального задания.</t>
  </si>
  <si>
    <t>Предоставление субвидий бюджетам муниципальных образований Московской области ежегодно январь-декабрь</t>
  </si>
  <si>
    <t xml:space="preserve">Закупка учебного оборудования и мебели-победителей областного конкурса муниципальных общеобразовательных организаций, разрабатывающих и внедряющих инновационные образовательные проекты </t>
  </si>
  <si>
    <t xml:space="preserve">Закуплено учебное оборудование и мебель для победителей областного конкурса муниципальных общеобразовательных организаций, разрабатывающих и внедряющих инновационные образовательные проекты </t>
  </si>
  <si>
    <t xml:space="preserve">Софинансирование на закупку учебного оборудования и мебели-победителей областного конкурса муниципальных общеобразовательных организаций, разрабатывающих и внедряющих инновационные образовательные проекты </t>
  </si>
  <si>
    <t xml:space="preserve">Закупка учебного оборудования победителей областного конкурса на присвоение статуса Региональной инновационной площадки </t>
  </si>
  <si>
    <t>Предоставление субсидии из городского бюджета январь-май</t>
  </si>
  <si>
    <t xml:space="preserve">Софинансирование на закупку учебного оборудования победителей областного конкурса на присвоение статуса Региональной инновационной площадки </t>
  </si>
  <si>
    <t>Закупка технологического оборудования для столовых и мебели для залов питания общеобразовательных учреждений – победителей областного конкурсного отбора муниципальных проектов совершенствования организации питания обучающихся</t>
  </si>
  <si>
    <t>Обеспечение предоставления субсидий бюджетам на закупку технологического оборудования для столовых и мебели для залов питания общеобразовательных учреждений – победителей областного конкурсного отбора муниципальных проектов совершенствования организации питания обучающихся</t>
  </si>
  <si>
    <t>Софинансирование на закупку технологического оборудования для столовых и мебели для залов питания общеобразовательных учреждений – победителей областного конкурсного отбора муниципальных проектов совершенствования организации питания обучающихся</t>
  </si>
  <si>
    <t>Обеспечение субвенций и на организацию питания обучающихся в общеобразовательных учреждений</t>
  </si>
  <si>
    <t>4.</t>
  </si>
  <si>
    <t>4.1.</t>
  </si>
  <si>
    <t>Праздник  «Международный день учителя»</t>
  </si>
  <si>
    <t xml:space="preserve">Проведение процедуры размещения муниципального заказа. </t>
  </si>
  <si>
    <t xml:space="preserve">Ежегодное проведение праздника  «Международ ный день учителя» </t>
  </si>
  <si>
    <t>4.2.</t>
  </si>
  <si>
    <t>Праздник «День знаний»</t>
  </si>
  <si>
    <t>Проведение процедуры размещения муниципального заказа, ежегодно III квартал</t>
  </si>
  <si>
    <t>4.3.</t>
  </si>
  <si>
    <t>Выпускной бал</t>
  </si>
  <si>
    <t>Проведение процедуры размещения муниципального заказа, ежегодно II квартал</t>
  </si>
  <si>
    <t>Ежегодное проведение «Выпускной бал»</t>
  </si>
  <si>
    <t>4.4.</t>
  </si>
  <si>
    <t>Участие в конкурсе   «Педагог года » и ПНПО (Приоритетный национальный проект «образование») </t>
  </si>
  <si>
    <t>Оплата по договорам и счетам</t>
  </si>
  <si>
    <t>Ежегодное участие лучших учителей в конкурсе «Педагог года »</t>
  </si>
  <si>
    <t>4.5.</t>
  </si>
  <si>
    <t xml:space="preserve">Проведение городской научно-практической конференции </t>
  </si>
  <si>
    <t>Медицинское сопровождение мероприятий в муниципальных общеобразовательных организаций с массовым пребыванием людей.</t>
  </si>
  <si>
    <t>Оплата по договорам и счетам скорой помощи</t>
  </si>
  <si>
    <t>Открытие новых общеобразовательных учреждений</t>
  </si>
  <si>
    <t>5.1.</t>
  </si>
  <si>
    <t>Создание условий для выявления и развития талантов детей</t>
  </si>
  <si>
    <t>Поощрительные выплаты ученикам и педагогам</t>
  </si>
  <si>
    <t>Поддержка «Талантливой молодежи»( и участники приоритетного национального проекта "Образование") победители</t>
  </si>
  <si>
    <t>Произведены поощрительные выплаты ученикам и педагогам</t>
  </si>
  <si>
    <t>6.</t>
  </si>
  <si>
    <t>Проведение медосмотра сотрудников образовательных учреждений 100%. Обучение охране труда и аттестации рабочих мест</t>
  </si>
  <si>
    <t>6.1.</t>
  </si>
  <si>
    <t>7.</t>
  </si>
  <si>
    <t>Повышение квалификафии педагогического состава общеобразовательных организаций</t>
  </si>
  <si>
    <t>8.</t>
  </si>
  <si>
    <t>Проведение профилактических рейдов (с использованием транспортных средств) по выявлению семей и подростков, находящихся в социально опасном положении</t>
  </si>
  <si>
    <t>Своевременное и процессуально грамотное рассмотрение материалов в отношении несовершеннолетних правонарушителей и неблагополучных родителей</t>
  </si>
  <si>
    <t xml:space="preserve">Обеспечение организации деятельности Комиссии по делам несовершеннолетних и защите их прав при Главе города Реутов </t>
  </si>
  <si>
    <t>Увеличение количества заседаний Комиссии по делам несовершеннолетних и защите их прав при Главе города Реутов</t>
  </si>
  <si>
    <t>Всего по подпрограмме II:</t>
  </si>
  <si>
    <t>Приложение № 1 к подпрограмме III «Дополнительное образование, воспитание и психолого-социальнон сопровождение детей"</t>
  </si>
  <si>
    <t>Перечень мероприятий подпрограммы III</t>
  </si>
  <si>
    <t>«Дополнительное образование, воспитание и психолого-социальное сопровождение детей»</t>
  </si>
  <si>
    <t>Предоставление субсидии муниципальным учреждениям дополнительного образования на финансовое обеспечение муниципального задания, в том числе:</t>
  </si>
  <si>
    <t>Утверждение муниципального задания и доведение его образовательным учреждениям до начала планируемого года; финансовое обеспечение выполнения муниципального задания путем предоставления субсидий, ежемесячно</t>
  </si>
  <si>
    <t xml:space="preserve">Выполнение муниципального задания на оказание муниципальных услуг муниципальным бюджетным образовательным учреждением дополнительного образования детей в «Детской юношеской школе»," Приалит", «Дом детского творчества» и «Хоровая студия «Радуга»укрепление материально-технической базы муниципальных образовательных учреждений по внешкольной работе с детьми </t>
  </si>
  <si>
    <t>1.1.1.</t>
  </si>
  <si>
    <t>«Детско-юношеская спортивная школа», Дом детского творчества</t>
  </si>
  <si>
    <t>Предоставление субсидий на обеспечение муниципального задания. Январь-декабрь.</t>
  </si>
  <si>
    <t>1.1.2.</t>
  </si>
  <si>
    <t>Приалит</t>
  </si>
  <si>
    <t>1.1.3.</t>
  </si>
  <si>
    <t>«Хоровая студия «Радуга»</t>
  </si>
  <si>
    <t>Предоставление субсидий на обеспечение муниципального задания. Январь-декабрь</t>
  </si>
  <si>
    <t>Предоставление субсидии муниципальным учреждениям дополнительного образования на оплату труда и начисления, в том числе:</t>
  </si>
  <si>
    <t>Предоставление субсидий на оплату труда ежемесячно</t>
  </si>
  <si>
    <t>1.2.1.</t>
  </si>
  <si>
    <t>1.2.2.</t>
  </si>
  <si>
    <t>"Приалит"</t>
  </si>
  <si>
    <t>1.2.3.</t>
  </si>
  <si>
    <t>Предоставление медицинского сопровождения (скорой помощи) на соревнования</t>
  </si>
  <si>
    <t>Оплата по договору, счетам</t>
  </si>
  <si>
    <t>Сопровождение скорой помощи во время соревнований между командами.</t>
  </si>
  <si>
    <t>Обучение охране труда и техники безоасности. Ежегодно.</t>
  </si>
  <si>
    <t>Обеспечить и научить работников дополнительно образования безопасности труда на рабочем месте.</t>
  </si>
  <si>
    <t>Медосмотр сотрудников, находящихся с детьми. Ежегодно.</t>
  </si>
  <si>
    <t>Выявление заболеваний сотрудников дополнительно образования.</t>
  </si>
  <si>
    <t>Задача3. Повышение квалификации</t>
  </si>
  <si>
    <t>Направление на курсы повышения квалификации. Ежегодно</t>
  </si>
  <si>
    <t>Повышение квалификации сотрудников дополнительного образования</t>
  </si>
  <si>
    <t>Задача4.Развитие образования в сфере культуры и искусства.</t>
  </si>
  <si>
    <t xml:space="preserve">Заключение соглашения о предоставлении субсидии на выполнение муниципального задания.
</t>
  </si>
  <si>
    <t>Отдел культуры Администрации города Реутов</t>
  </si>
  <si>
    <t>Увеличение числа детей, получающих дополнительное образование в учреждениях дополнительного образования</t>
  </si>
  <si>
    <t xml:space="preserve">Предоставление субсидии на выполнение муниципального задания муниципальным учреждениям дополнительного образования детей, подведомственным отделу культуры </t>
  </si>
  <si>
    <t xml:space="preserve">Заключение соглашений о предоставлении субсидии на выполнение муниципального задания.
</t>
  </si>
  <si>
    <t>Оснащение и модернизация муниципальных учреждений дополнительного образования детей современным оборудованием</t>
  </si>
  <si>
    <t>Всего по подпрограмме III:</t>
  </si>
  <si>
    <t>Приложение № 1 к подпрограмме IV</t>
  </si>
  <si>
    <t>«Обеспечивающая подпрограмма»</t>
  </si>
  <si>
    <t>Перечень мероприятия подпрограммы IV «Обеспечивающая подпрограмма»</t>
  </si>
  <si>
    <t>Задача 1.
Организация ведения бухгалтерского учета в соответствии с действующими правовыми актами, регламентирующими ведение бухгалтерского учета, составление бухгалтерской, налоговой и статистической отчетности</t>
  </si>
  <si>
    <t>Достоверность ведения регистров бухгалтерского учета (правильность), своевременность формирования налоговой и статистической отчетности (быстрота), полнота сведений бухгалтерской и налоговой отчетности</t>
  </si>
  <si>
    <t>Выплата заработной платы ежемесячно</t>
  </si>
  <si>
    <t>Оплата по договрам и контрактам</t>
  </si>
  <si>
    <t>Задача 2. Предоставление услуг хозяйственно-эксплутационной конторой.</t>
  </si>
  <si>
    <t>Предоставление услуг по организации ремонта, уборки территорий, составление смет для муниципальных бюджетных и автономных учреждений образования</t>
  </si>
  <si>
    <t>Утверждение муниципального задания с января по декабрь</t>
  </si>
  <si>
    <t>2.1.1.</t>
  </si>
  <si>
    <t>2.1.2.</t>
  </si>
  <si>
    <t>Задача 3. Управление образования</t>
  </si>
  <si>
    <t>Главный распорядитель денежных средств для муниципальных бюджетных и автономных учреждений образования</t>
  </si>
  <si>
    <t>Предоставление субсидий Управлению образования</t>
  </si>
  <si>
    <t>Расходы на выплату персоналу в целях обеспечения выполнения функций муниципальными органами</t>
  </si>
  <si>
    <t>Оплата труда, начисления ежемесячно. Оздоровление к отпуску раз в год.</t>
  </si>
  <si>
    <t>Иные закупки товаров, услуг и прочих расходов</t>
  </si>
  <si>
    <t xml:space="preserve">Организация курсов повышения квалификации сотрудников муниципальных образовательных учреждений,а также лицензирования </t>
  </si>
  <si>
    <t>Предоставление субсидий на оплату труда и начисления</t>
  </si>
  <si>
    <t>Оплата заработной платы ежемесячно, согласно постановления Главы города</t>
  </si>
  <si>
    <t>Закупка товаров, работ, услуг</t>
  </si>
  <si>
    <t>Закупка товаров по договорам и контрактам</t>
  </si>
  <si>
    <t>Всего по подпрограмме IV:</t>
  </si>
  <si>
    <t>Всего по программе:</t>
  </si>
  <si>
    <t>Обеспечение детей в дошкольных образовательных оргнизациях игрушками</t>
  </si>
  <si>
    <t>Выполнение муниципального задания в размере 100%</t>
  </si>
  <si>
    <t>Победа в областном конкурсе конкурсе и закупка оборудования а дошкольные образовательные организации</t>
  </si>
  <si>
    <t>Ремонт в дошкольных образовательных организациях на 100%</t>
  </si>
  <si>
    <t>Обучение сотрудников дошкольных образовательных учреждений по охране труда и техники безопасности 100%. Проведение медосмотра сотрудников и выявление заболеваний 100%.</t>
  </si>
  <si>
    <t>Обученине сотрудников на курсах повышения квалификации</t>
  </si>
  <si>
    <t>Увеличение доли обучающихся муниципальных общеобразовательных организаций, которым предоставлена возможность обучаться в соответствии с основными современными требованиями, в общей численности обучающихся до 90 процентов, увеличение доли обучающихся по федеральным государственным образовательным стандартам общего образования до 70 процентов</t>
  </si>
  <si>
    <t xml:space="preserve">Увеличения количества компьютеров на 100 обучающихся </t>
  </si>
  <si>
    <t>Выполнение муниципального задания на 100%</t>
  </si>
  <si>
    <t>Обеспечение питанием учащихся из малообеспеченных семей.</t>
  </si>
  <si>
    <t>Ежегодное проведение «День знаний» на 1 сентября.</t>
  </si>
  <si>
    <t xml:space="preserve">Проведение научно-практических конференций </t>
  </si>
  <si>
    <t>Сопрвождение скорой помощи при проведении в общеобразовательных учреждений мероприятий для учащихся.</t>
  </si>
  <si>
    <t>Открытие новых общеобразовательных организаций в новых микрорайонах.</t>
  </si>
  <si>
    <t xml:space="preserve">Принявших участие в предметных олимпиадах (% от общего количества учащихся 8-11 классов):
- на школьном уровне до 60%;
- на муниципальном уровне до 20%;
- на областном уровне до 1,5%.
</t>
  </si>
  <si>
    <t>Принявших участие в предметных олимпиадах (% от общего количества учащихся 8-11 классов):
- на школьном уровне до 60%;
- на муниципальном уровне до 20%;
- на областном уровне до 1,5%</t>
  </si>
  <si>
    <t>Доля детей, охваченных образовательными программами дополнительного образования детей, в общей численности детей и молодёжи в возрасте 5 -18 лет, занятых в организациях дополнительного образования детей</t>
  </si>
  <si>
    <t>Выполнение муниципального задания на оказание муниципальных услуг муниципальным бюджетным образовательным учреждением дополнительного образования детей</t>
  </si>
  <si>
    <t>повышение среднемесячной заработной платы педагогов муниципальных организаций дополнительного образования по  отношению к среднемесячной заработной плате учителя в Московской области до 100 процентов;</t>
  </si>
  <si>
    <t xml:space="preserve">Доля детей, привлекаемых к участию в творческих мероприятиях, от общего числа детей,от 80 % </t>
  </si>
  <si>
    <t>Производить оплату согласно постановления по оплате труда.</t>
  </si>
  <si>
    <t xml:space="preserve">Выявление творчески одаренных детей и обеспечение участия детей в областных, межрегиональных, международных конкурсах и фестивалях. </t>
  </si>
  <si>
    <t>Задача 2. Выплата вознаграждения за выполнение функций классного руководителя педагогическим работникам мунициципальных образовательных учреждений</t>
  </si>
  <si>
    <t>Задача 3. Предоставление субсидий для бюджетных общеобразовательных организаций на выполнение муниципального задания</t>
  </si>
  <si>
    <t xml:space="preserve">Задача 4. Обеспечению доступности качественного общего образования в муниципальных образовательных учреждениях, укрепление материально-технической базы образовательных учреждений, выполнение мероприятий по проведению капитального, текущего ремонта в муниципальных общеобразовательных организациях, меры по социальной поддержке детей с ограниченными возможностями здоровья
</t>
  </si>
  <si>
    <t>4.2.1.</t>
  </si>
  <si>
    <t>4.3.1.</t>
  </si>
  <si>
    <t>4.4.1.</t>
  </si>
  <si>
    <t>5.2.</t>
  </si>
  <si>
    <t>5.3.</t>
  </si>
  <si>
    <t>5.4.</t>
  </si>
  <si>
    <t>5.5.</t>
  </si>
  <si>
    <t>5.6.</t>
  </si>
  <si>
    <t>5.7.</t>
  </si>
  <si>
    <t>Задача 6. 
Реализация механизмов для выявления и развития талантов детей.</t>
  </si>
  <si>
    <t>6.1.1.</t>
  </si>
  <si>
    <t xml:space="preserve">Задача 7. 
Охрана труда </t>
  </si>
  <si>
    <t>7.1.</t>
  </si>
  <si>
    <t xml:space="preserve">Задача 8. Повышение квалификации </t>
  </si>
  <si>
    <t>9.1.</t>
  </si>
  <si>
    <t>9.2.</t>
  </si>
  <si>
    <t xml:space="preserve">Предоставление субсидий бюджетам муниципальных образований Московской области на приобретение компьютеров и на внедрение современных образовательных технологий </t>
  </si>
  <si>
    <t xml:space="preserve">Предоставление неограниченного широко-полосного круглосуточно го доступа к информационно-телекоммуникационной сети Интернет муниципальным общеобразова тельным учреждениям , реализующим основные общеобразовательные. Обновление компьютерной техники программы </t>
  </si>
  <si>
    <t>За счет ввода в строй новых школ и согласно текущему финансированию</t>
  </si>
  <si>
    <t>Задача 4.
Методическое обеспечение учебно-воспитательного процесса, выполнение муниципального задания.</t>
  </si>
  <si>
    <r>
      <t>Задача 4</t>
    </r>
    <r>
      <rPr>
        <sz val="18"/>
        <rFont val="Times New Roman"/>
        <family val="1"/>
        <charset val="204"/>
      </rPr>
      <t>.
Охрана труда
Медосмотр сотрудников дошкольных образовательных учреждений, аккредитация рабочих мест, обучение техники безопасности</t>
    </r>
  </si>
  <si>
    <t>1.5.</t>
  </si>
  <si>
    <t>Заключение контракта на ПИР с учетом проведенных конкурсных процедур</t>
  </si>
  <si>
    <t>Администрация города Реутов</t>
  </si>
  <si>
    <t>Ликвидация очередности в детские дошкольные учреждения в городе Реутов</t>
  </si>
  <si>
    <t>1.5.1.</t>
  </si>
  <si>
    <t>Строительство детского сада на 250 мест с бассейном в микрорайоне 10А</t>
  </si>
  <si>
    <t>1.5.2.</t>
  </si>
  <si>
    <t>Строительство детского сада на 210 мест с бассейном в микрорайоне 6А</t>
  </si>
  <si>
    <t>Увеличение численности детей в дошкольных учреждениях на 250 мест</t>
  </si>
  <si>
    <t>Увеличение численности детей в дошкольных учреждениях на 210 мест</t>
  </si>
  <si>
    <t>1.5.3.</t>
  </si>
  <si>
    <t>Строительство детского сада на 210 мест с бассейном по улице Гагарина, д.20</t>
  </si>
  <si>
    <t>1.5.4.</t>
  </si>
  <si>
    <t>Строительство детского сада на 140 мест с бассейном по улице Новогиреевская, мкр.3</t>
  </si>
  <si>
    <t>Увеличение численности детей в дошкольных учреждениях на 140 мест</t>
  </si>
  <si>
    <t>Строительство объектов дошкольных образовательных учреждений, включенных и не вошедших в государственную программу Московской области "Образование Подмосковья" на 2014-2018 годы</t>
  </si>
  <si>
    <t>10.</t>
  </si>
  <si>
    <t>10.1.</t>
  </si>
  <si>
    <t>10.2.</t>
  </si>
  <si>
    <t>Строительство общеобразовательной школы на 1100 мест (к-1), мкр.10А</t>
  </si>
  <si>
    <t>Строительство общеобразовательной школы на 810 мест, мкр.6А</t>
  </si>
  <si>
    <t>Задача 10. Строительство при реализации инвестиционных проектов по осуществлению комплексногожилищного строительства и инфраструктуры.</t>
  </si>
  <si>
    <t>Проектно-изыскательские и строительно-монтажные работы по реконструкции с пристройкой Школы искусств по улице Южной, д.17</t>
  </si>
  <si>
    <t>2015-2016 годы</t>
  </si>
  <si>
    <t>Проектно-изыскательские и строительно-монтажные работы по реконструкции с пристройкой Школы различных видов искусств по улице Гагарина, д.20А</t>
  </si>
  <si>
    <t>2016-2017 годы</t>
  </si>
  <si>
    <t>Увеличение  новых  мест в дошкольных образовательных учреждениях</t>
  </si>
  <si>
    <t xml:space="preserve">Задача 1.
Развитие инфраструктуры, кадрового потенциала, интеграции деятельности образовательных учреждений, культуры, физической культуры и спорта, обеспечивающих равную доступность и повышение охвата детей услугами дополнительного образования </t>
  </si>
  <si>
    <t>Задача 2.
Охрана труда</t>
  </si>
  <si>
    <t>Средства федерального бюджета</t>
  </si>
  <si>
    <t>Заключение договоров, счетов</t>
  </si>
  <si>
    <t>Проведение капитального, текущего ремонта в муниципальных общеобразовательных организаций</t>
  </si>
  <si>
    <t>Содержание 120 мест в частных дошкольных образовательных учреждениях для детей в возрасте от 3 до 7 лет.</t>
  </si>
  <si>
    <t xml:space="preserve">Оплата труда педагогических работников для муниципальных общеобразовательных учреждений и административно-управленческого, учебно-вспомогательного и обслуживающего персонала </t>
  </si>
  <si>
    <t>Заключение контракта на строительство с учетом проведенных конкурсных процедур</t>
  </si>
  <si>
    <t>На основании бюджетной сметы</t>
  </si>
  <si>
    <t>Медосмотр сотрудников общеобразовательных учреждений, аттестация рабочих мест, обучение техники безопасности</t>
  </si>
  <si>
    <t>Закон Московской области о комиссиях по делам несовершеннолетних и защите их прав в Московской области</t>
  </si>
  <si>
    <t>Медосмотр сотрудников в учреждениях дополнительного образования, аккредитация рабочих мест, обучение техники безопасности и охрана труда</t>
  </si>
  <si>
    <t>Софинансирование на реализацию мероприятий Федеральной целевой программы развития образования по направлению "Распространение на всей территории Российской Федерации современных моделей успешной социализации детей" в соответствии  с государственной программой Московской области "Образование Подмосковья" на 2014-2018 годы.</t>
  </si>
  <si>
    <t>4.6.</t>
  </si>
  <si>
    <t>Обеспечение предоставления субсидий бюджетам на закупку специального, в том числе учебного, реабилитационного, компьютерного оборудования, дидактических средств обучения и коррекции для детей с ограниченными возможностями здоровья.</t>
  </si>
  <si>
    <t>4.7.</t>
  </si>
  <si>
    <t xml:space="preserve">Заключение соглашений о предоставлении субсидии </t>
  </si>
  <si>
    <t>Обеспечение предоставления субсидий на укрепление материально-технической базы</t>
  </si>
  <si>
    <t>Выплата грантов Губернатора МО лучшим общеобразовательным организациям в Московской области с целью укрепления материально-технической базы</t>
  </si>
  <si>
    <t>Ремонт двух спортивных залов в МБОУ дополнительного образования  детей " Детско-юношеская спортивная школа"</t>
  </si>
  <si>
    <t>Ремонт в организациях дополнительного образования на 100%</t>
  </si>
  <si>
    <t>3.6.</t>
  </si>
  <si>
    <t>Выдача сертификата</t>
  </si>
  <si>
    <t>3.7.</t>
  </si>
  <si>
    <t>Субсидия на закупку оборудования для дошкольных образовательных организаций-победителей областного конкурса на присвоение статуса Региональной инновационной площадки Московской области</t>
  </si>
  <si>
    <t>3.8.</t>
  </si>
  <si>
    <t>Закупка основных средств и материальных запасов на увеличение мест в дошкольных образовательных учреждениях</t>
  </si>
  <si>
    <t xml:space="preserve"> Увеличение мест в дошкольных образовательных учреждениях</t>
  </si>
  <si>
    <t>4.8.</t>
  </si>
  <si>
    <t>Реализацию мероприятий Федеральной целевой программы развития образования по направлению "Распространение на всей территории Российской Федерации современных моделей успешной социализации детей" в соответствии  с государственной программой Московской области "Образование Подмосковья" на 2014-2018 годы.</t>
  </si>
  <si>
    <t>Софинансирование на выплату грантов Губернатора МО лучшим общеобразовательным организациям в Московской области с целью укрепления материально-технической базы</t>
  </si>
  <si>
    <t>4.9.</t>
  </si>
  <si>
    <t>3.9.</t>
  </si>
  <si>
    <t>Проведение капитального, текущего ремонта в муниципальных организациях дошкольного образования</t>
  </si>
  <si>
    <t xml:space="preserve">Сертификат </t>
  </si>
  <si>
    <t>Приобретение парадной формы и развитие материально-технической базы для учащихся  кадетского класса</t>
  </si>
  <si>
    <t>4.10.</t>
  </si>
  <si>
    <t>Приобретение парадной формы для кадетских классов</t>
  </si>
  <si>
    <t>Услуги по изготовлению и установке флагштоков в общеобразовательных организациях</t>
  </si>
  <si>
    <t>Изготовление и установка флагштоков</t>
  </si>
  <si>
    <t>4.11.</t>
  </si>
  <si>
    <t>4.12.</t>
  </si>
  <si>
    <t>Мероприятия по устройству спортивных площадок и стадионов в муниципальных общеобразовательных организациях.</t>
  </si>
  <si>
    <t>Устройство футбольного поля, спортивных площадок с установкой оборудования, беговые дорожки, прыжковые ямы.</t>
  </si>
  <si>
    <t xml:space="preserve"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</si>
  <si>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 и в частных общенобразовательных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программам.</t>
  </si>
  <si>
    <t>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услуг).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</si>
  <si>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деятельность.</t>
  </si>
  <si>
    <t xml:space="preserve">Организация капитального ремонта, текущего ремонта (приобретение и замена оконных рам, ремонт системы отопления, ремонт групповых помещений) </t>
  </si>
  <si>
    <t>Приобретение игровых пособий и сооружений (песочница, чехлы для песочницы, карнавальные костюмы и т.д.)</t>
  </si>
  <si>
    <t>3.10.</t>
  </si>
  <si>
    <t>Закупка оборудования для организации коррекционной работы с детьми, имеющих нарушение опорно-двигательного аппарата</t>
  </si>
  <si>
    <t>Оплата по договорам, счетам.</t>
  </si>
  <si>
    <t>Приобретение оборудования</t>
  </si>
  <si>
    <t>3.11.</t>
  </si>
  <si>
    <t>Ремонтные работы в здании МАДОУ №9 (ул.Гагарина, д.20)</t>
  </si>
  <si>
    <t>Задача 1. 
Ликвидация очередности в дошкольных образовательных организациях и развитие инфраструктуры дошкольного образования</t>
  </si>
  <si>
    <t>Приобретение оборудования, производственного и хозяйственного инвентаря, музыкальных инструментов, текущий ремонт помещений школ, ремонт автотранспорта</t>
  </si>
  <si>
    <t>Расходы на ведение бухгалтерского учета в соответствии с действующими правовыми актами, составление бухгалтерской, налоговой и статистической отчетности</t>
  </si>
  <si>
    <t>Расходы на оплату труда</t>
  </si>
  <si>
    <t>Расходы на предоставление услуг хозяйственно-эксплутационной конторой</t>
  </si>
  <si>
    <t>3.12.</t>
  </si>
  <si>
    <t>4.13.</t>
  </si>
  <si>
    <t>Мероприятия по организации проведения государственной итоговой аттестации по образователным программам среднего общего образования (ЕГЭ)</t>
  </si>
  <si>
    <t>Приобретение камер наблюдения, металлоискателей, МФУ,  обслуживание камер видеонаблюдений и т.д.</t>
  </si>
  <si>
    <t>4.14.</t>
  </si>
  <si>
    <t>Мероприятия для реализации проекта "Проектирование сети общеобразовательных учреждений г.Реутов"</t>
  </si>
  <si>
    <t>Профилизация обучения школьников на уровнях основного и среднего образования и т.д.</t>
  </si>
  <si>
    <t>Задача 5. 
Организация праздничных, культурно-массовых и иных мероприятий</t>
  </si>
  <si>
    <t>Разработаны модели  формирования информационной среды профессионального развития и коммуникаций  педагогических работников</t>
  </si>
  <si>
    <t xml:space="preserve">
Охрана труда
Медосмотр сотрудников дошкольных образовательных учреждений, аккредитация рабочих мест, обучение техники безопасности</t>
  </si>
  <si>
    <t>Повышение квалификации рукводящих кадров</t>
  </si>
  <si>
    <t>Задача 6. Аттестация рабочего места в дошкольных образовательных организациях</t>
  </si>
  <si>
    <t>Аттестация рабочего места</t>
  </si>
  <si>
    <t>11.</t>
  </si>
  <si>
    <t>11.1.</t>
  </si>
  <si>
    <t>Задача 11. Аттестация рабочего места в общеобразовательных организациях</t>
  </si>
  <si>
    <t>8.1.</t>
  </si>
  <si>
    <t xml:space="preserve">Повышение квалификации </t>
  </si>
  <si>
    <t>Повышение квалификации</t>
  </si>
  <si>
    <t>Задача 5. Реконструкция зданий организации  дополнительного образования</t>
  </si>
  <si>
    <t>Проведение инструментального технического обследования зданий организации дополнительного образования</t>
  </si>
  <si>
    <t>9.</t>
  </si>
  <si>
    <t>Задача 9. Обеспечение переданных государственных полномочий в сфере образования  и организация деятельности комиссии по делам несовершеннолетних  и защите их  прав городов и районов</t>
  </si>
  <si>
    <t>Сохранение обучения в одну смену</t>
  </si>
  <si>
    <t>10.3.</t>
  </si>
  <si>
    <t>Строительство пристройки к МБОУ СОШ №4 (на 200 мест)</t>
  </si>
  <si>
    <t>1.6.</t>
  </si>
  <si>
    <t>Приобретение спортивной формы и развитие материально-технической базы для учащихся в ДЮСШ "Приалит"</t>
  </si>
  <si>
    <t xml:space="preserve">Приобретение спортивной формы и развитие материально-технической базы </t>
  </si>
  <si>
    <t xml:space="preserve">Оплата по договорам и счетам </t>
  </si>
  <si>
    <t>Оплата по договорам и счетам, поощрительные выплаты и т.д.</t>
  </si>
  <si>
    <t>Приобретение мягкого инвентаря, ковровых изделий, материальных запасов и основных средств для дошкольных образовательных организации</t>
  </si>
  <si>
    <t>Приобретение мягкого инвентаря и ковровых изделий, песочных двориков, песок, кипятильников, телевизоров, насосы для воды и т.д.</t>
  </si>
  <si>
    <t>4.3.2.</t>
  </si>
  <si>
    <t>Закупка  оборудования для муципальных общеобразовательных организаций</t>
  </si>
  <si>
    <t xml:space="preserve">Закупка  оборудования и мебель для победителей областного конкурса муниципальных общеобразовательных организаций, разрабатывающих и внедряющих инновационные образовательные проекты </t>
  </si>
  <si>
    <t>Победа в областном конкурсе конкурсе и закупка оборудования в дошкольные образовательные организации</t>
  </si>
  <si>
    <t>3.13.</t>
  </si>
  <si>
    <t>3.14.</t>
  </si>
  <si>
    <t>3.15.</t>
  </si>
  <si>
    <t>Закупка оборудования и создание условий для инклюзивного образования детей-инвалидов в дошкольных образовательных организациях</t>
  </si>
  <si>
    <t>Софинансирование на закупку оборудования и создание условий для инклюзивного образования детей-инвалидов в дошкольных образовательных организациях</t>
  </si>
  <si>
    <t>Создание условий  и приобретение оборудования для детей инвалидов</t>
  </si>
  <si>
    <t>Проведение акарицидной оработки обработки территории дошкольных образовательных учреждений</t>
  </si>
  <si>
    <t>Обследование, профилактические и истребительные мероприятия по уничтожению насекомых (клещей)</t>
  </si>
  <si>
    <t>4.15.</t>
  </si>
  <si>
    <t>Предоставление субсидий на проведение соревнований, зональных сборов, аренды залов для тренировок, межрегиональных творческих мероприятий, международных конкурсов в сфере образования</t>
  </si>
  <si>
    <t>Проведение капитальный, текущий ремонт, ремонт и установки огражений, ремонт кровель, замена оконных конструкций, устройство прогулочных веранд, ремонт асфальтового основания, выполнение противопожарных мероприятий, установка домофонов и т.д.  в муниципальных организациях дошкольного образования</t>
  </si>
  <si>
    <t>Проведение капитальный, текущий ремонт, ремонт и установки огражений, ремонт кровель, замена оконных конструкций,устройство тепловых навесов, противопожарные мероприятия и т.д.  в муниципальных организациях дошкольного образования</t>
  </si>
  <si>
    <t>Проведен капитальный, текущий ремонт, ремонт и установки огражений, ремонт кровель, замена оконных конструкций, устройство площадок, противопожарные мероприятия в муниципальных общеобразовательных организациях</t>
  </si>
  <si>
    <t>4.16.</t>
  </si>
  <si>
    <t>4.17.</t>
  </si>
  <si>
    <t>Проведение акарицидной оработки обработки территории образовательных учреждений</t>
  </si>
  <si>
    <t>Укрепление материально-технической базы общеобразовательных учреждений</t>
  </si>
  <si>
    <t>Приобретение учебного оборудования, мебели и т.д.</t>
  </si>
  <si>
    <t>Участие во Всероссийских слетах кадетских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</si>
</sst>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2" formatCode="#,##0.0"/>
    <numFmt numFmtId="174" formatCode="0.0"/>
    <numFmt numFmtId="176" formatCode="#,##0.000"/>
    <numFmt numFmtId="177" formatCode="#,##0.0000"/>
    <numFmt numFmtId="179" formatCode="#,##0.00000"/>
  </numFmts>
  <fonts count="16" x14ac:knownFonts="1"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8"/>
      <name val="Calibri"/>
      <family val="2"/>
      <charset val="204"/>
    </font>
    <font>
      <sz val="18"/>
      <name val="Arial"/>
      <family val="2"/>
      <charset val="204"/>
    </font>
    <font>
      <sz val="18"/>
      <name val="Times New Roman"/>
      <family val="1"/>
      <charset val="1"/>
    </font>
    <font>
      <b/>
      <sz val="15"/>
      <name val="Arial"/>
      <family val="2"/>
      <charset val="204"/>
    </font>
    <font>
      <b/>
      <sz val="20"/>
      <color indexed="10"/>
      <name val="Arial"/>
      <family val="2"/>
      <charset val="204"/>
    </font>
    <font>
      <sz val="18"/>
      <color indexed="8"/>
      <name val="Times New Roman"/>
      <family val="1"/>
      <charset val="204"/>
    </font>
    <font>
      <b/>
      <sz val="20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6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72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172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172" fontId="6" fillId="0" borderId="6" xfId="0" applyNumberFormat="1" applyFont="1" applyBorder="1" applyAlignment="1">
      <alignment horizontal="center" vertical="center" wrapText="1"/>
    </xf>
    <xf numFmtId="172" fontId="7" fillId="0" borderId="2" xfId="0" applyNumberFormat="1" applyFont="1" applyBorder="1" applyAlignment="1">
      <alignment horizontal="center" vertical="center" wrapText="1"/>
    </xf>
    <xf numFmtId="172" fontId="6" fillId="0" borderId="7" xfId="0" applyNumberFormat="1" applyFont="1" applyBorder="1" applyAlignment="1">
      <alignment horizontal="center" vertical="center" wrapText="1"/>
    </xf>
    <xf numFmtId="172" fontId="7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72" fontId="6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6" fillId="2" borderId="2" xfId="0" applyFont="1" applyFill="1" applyBorder="1" applyAlignment="1">
      <alignment vertical="top" wrapText="1"/>
    </xf>
    <xf numFmtId="172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74" fontId="6" fillId="2" borderId="2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172" fontId="6" fillId="2" borderId="2" xfId="0" applyNumberFormat="1" applyFont="1" applyFill="1" applyBorder="1" applyAlignment="1">
      <alignment horizontal="center" wrapText="1"/>
    </xf>
    <xf numFmtId="0" fontId="6" fillId="2" borderId="7" xfId="0" applyFont="1" applyFill="1" applyBorder="1" applyAlignment="1">
      <alignment vertical="top" wrapText="1"/>
    </xf>
    <xf numFmtId="172" fontId="6" fillId="2" borderId="2" xfId="0" applyNumberFormat="1" applyFont="1" applyFill="1" applyBorder="1" applyAlignment="1">
      <alignment horizontal="center" vertical="top" wrapText="1"/>
    </xf>
    <xf numFmtId="172" fontId="6" fillId="2" borderId="2" xfId="0" applyNumberFormat="1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172" fontId="11" fillId="2" borderId="2" xfId="0" applyNumberFormat="1" applyFont="1" applyFill="1" applyBorder="1" applyAlignment="1">
      <alignment vertical="top" wrapText="1"/>
    </xf>
    <xf numFmtId="172" fontId="6" fillId="2" borderId="2" xfId="0" applyNumberFormat="1" applyFont="1" applyFill="1" applyBorder="1" applyAlignment="1">
      <alignment wrapText="1"/>
    </xf>
    <xf numFmtId="172" fontId="6" fillId="2" borderId="7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14" fontId="6" fillId="2" borderId="10" xfId="0" applyNumberFormat="1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left" vertical="top" wrapText="1"/>
    </xf>
    <xf numFmtId="14" fontId="7" fillId="2" borderId="10" xfId="0" applyNumberFormat="1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6" fillId="0" borderId="0" xfId="0" applyFont="1"/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72" fontId="7" fillId="0" borderId="6" xfId="0" applyNumberFormat="1" applyFont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172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6" fillId="2" borderId="10" xfId="0" applyFont="1" applyFill="1" applyBorder="1" applyAlignment="1">
      <alignment vertical="top" wrapText="1"/>
    </xf>
    <xf numFmtId="172" fontId="6" fillId="0" borderId="12" xfId="0" applyNumberFormat="1" applyFont="1" applyBorder="1" applyAlignment="1">
      <alignment horizontal="center" vertical="center" wrapText="1"/>
    </xf>
    <xf numFmtId="172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2" fontId="6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72" fontId="7" fillId="3" borderId="6" xfId="0" applyNumberFormat="1" applyFont="1" applyFill="1" applyBorder="1" applyAlignment="1">
      <alignment horizontal="center" vertical="center" wrapText="1"/>
    </xf>
    <xf numFmtId="172" fontId="6" fillId="3" borderId="6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4" fontId="6" fillId="0" borderId="2" xfId="0" applyNumberFormat="1" applyFont="1" applyBorder="1" applyAlignment="1">
      <alignment horizontal="center" vertical="center" wrapText="1"/>
    </xf>
    <xf numFmtId="174" fontId="6" fillId="3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top" wrapText="1"/>
    </xf>
    <xf numFmtId="172" fontId="7" fillId="3" borderId="1" xfId="0" applyNumberFormat="1" applyFont="1" applyFill="1" applyBorder="1" applyAlignment="1">
      <alignment horizontal="center" vertical="center" wrapText="1"/>
    </xf>
    <xf numFmtId="172" fontId="7" fillId="3" borderId="2" xfId="0" applyNumberFormat="1" applyFont="1" applyFill="1" applyBorder="1" applyAlignment="1">
      <alignment horizontal="center" vertical="center" wrapText="1"/>
    </xf>
    <xf numFmtId="172" fontId="6" fillId="3" borderId="7" xfId="0" applyNumberFormat="1" applyFont="1" applyFill="1" applyBorder="1" applyAlignment="1">
      <alignment horizontal="center" vertical="center" wrapText="1"/>
    </xf>
    <xf numFmtId="172" fontId="7" fillId="3" borderId="7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/>
    <xf numFmtId="4" fontId="6" fillId="0" borderId="6" xfId="0" applyNumberFormat="1" applyFont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2" fontId="6" fillId="2" borderId="2" xfId="0" applyNumberFormat="1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vertical="center" wrapText="1"/>
    </xf>
    <xf numFmtId="4" fontId="0" fillId="0" borderId="0" xfId="0" applyNumberFormat="1" applyFont="1"/>
    <xf numFmtId="4" fontId="13" fillId="0" borderId="0" xfId="0" applyNumberFormat="1" applyFont="1"/>
    <xf numFmtId="172" fontId="6" fillId="0" borderId="1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vertical="top" wrapText="1"/>
    </xf>
    <xf numFmtId="172" fontId="11" fillId="2" borderId="2" xfId="0" applyNumberFormat="1" applyFont="1" applyFill="1" applyBorder="1" applyAlignment="1">
      <alignment horizontal="center" vertical="top" wrapText="1"/>
    </xf>
    <xf numFmtId="172" fontId="9" fillId="2" borderId="2" xfId="0" applyNumberFormat="1" applyFont="1" applyFill="1" applyBorder="1" applyAlignment="1">
      <alignment horizontal="center" vertical="top" wrapText="1"/>
    </xf>
    <xf numFmtId="4" fontId="8" fillId="0" borderId="0" xfId="0" applyNumberFormat="1" applyFont="1"/>
    <xf numFmtId="4" fontId="10" fillId="0" borderId="0" xfId="0" applyNumberFormat="1" applyFont="1"/>
    <xf numFmtId="0" fontId="6" fillId="0" borderId="6" xfId="0" applyFont="1" applyBorder="1" applyAlignment="1">
      <alignment horizontal="center" vertical="top" wrapText="1"/>
    </xf>
    <xf numFmtId="0" fontId="6" fillId="0" borderId="0" xfId="0" applyFont="1" applyBorder="1"/>
    <xf numFmtId="172" fontId="7" fillId="3" borderId="2" xfId="0" applyNumberFormat="1" applyFont="1" applyFill="1" applyBorder="1" applyAlignment="1">
      <alignment horizontal="center" vertical="top" wrapText="1"/>
    </xf>
    <xf numFmtId="172" fontId="6" fillId="3" borderId="4" xfId="0" applyNumberFormat="1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/>
    </xf>
    <xf numFmtId="172" fontId="14" fillId="2" borderId="2" xfId="0" applyNumberFormat="1" applyFont="1" applyFill="1" applyBorder="1" applyAlignment="1">
      <alignment horizontal="center" vertical="center" wrapText="1"/>
    </xf>
    <xf numFmtId="172" fontId="6" fillId="3" borderId="0" xfId="0" applyNumberFormat="1" applyFont="1" applyFill="1" applyAlignment="1">
      <alignment horizontal="center" vertical="top"/>
    </xf>
    <xf numFmtId="172" fontId="7" fillId="3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172" fontId="7" fillId="2" borderId="6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72" fontId="7" fillId="4" borderId="2" xfId="0" applyNumberFormat="1" applyFont="1" applyFill="1" applyBorder="1" applyAlignment="1">
      <alignment horizontal="center" vertical="center" wrapText="1"/>
    </xf>
    <xf numFmtId="172" fontId="6" fillId="4" borderId="2" xfId="0" applyNumberFormat="1" applyFont="1" applyFill="1" applyBorder="1" applyAlignment="1">
      <alignment horizontal="center" vertical="center" wrapText="1"/>
    </xf>
    <xf numFmtId="172" fontId="6" fillId="4" borderId="2" xfId="0" applyNumberFormat="1" applyFont="1" applyFill="1" applyBorder="1" applyAlignment="1">
      <alignment horizontal="center" wrapText="1"/>
    </xf>
    <xf numFmtId="172" fontId="6" fillId="4" borderId="2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4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172" fontId="7" fillId="5" borderId="2" xfId="0" applyNumberFormat="1" applyFont="1" applyFill="1" applyBorder="1" applyAlignment="1">
      <alignment vertical="center" wrapText="1"/>
    </xf>
    <xf numFmtId="172" fontId="7" fillId="5" borderId="2" xfId="0" applyNumberFormat="1" applyFont="1" applyFill="1" applyBorder="1" applyAlignment="1">
      <alignment horizontal="center" vertical="center" wrapText="1"/>
    </xf>
    <xf numFmtId="172" fontId="6" fillId="5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top" wrapText="1"/>
    </xf>
    <xf numFmtId="0" fontId="0" fillId="5" borderId="0" xfId="0" applyFont="1" applyFill="1"/>
    <xf numFmtId="0" fontId="6" fillId="5" borderId="2" xfId="0" applyFont="1" applyFill="1" applyBorder="1" applyAlignment="1">
      <alignment vertical="top" wrapText="1"/>
    </xf>
    <xf numFmtId="0" fontId="15" fillId="0" borderId="0" xfId="0" applyFont="1"/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172" fontId="7" fillId="6" borderId="1" xfId="0" applyNumberFormat="1" applyFont="1" applyFill="1" applyBorder="1" applyAlignment="1">
      <alignment horizontal="center" vertical="center" wrapText="1"/>
    </xf>
    <xf numFmtId="172" fontId="6" fillId="6" borderId="2" xfId="0" applyNumberFormat="1" applyFont="1" applyFill="1" applyBorder="1" applyAlignment="1">
      <alignment horizontal="center" vertical="center" wrapText="1"/>
    </xf>
    <xf numFmtId="172" fontId="6" fillId="6" borderId="6" xfId="0" applyNumberFormat="1" applyFont="1" applyFill="1" applyBorder="1" applyAlignment="1">
      <alignment horizontal="center" vertical="center" wrapText="1"/>
    </xf>
    <xf numFmtId="177" fontId="6" fillId="6" borderId="2" xfId="0" applyNumberFormat="1" applyFont="1" applyFill="1" applyBorder="1" applyAlignment="1">
      <alignment horizontal="center" vertical="center" wrapText="1"/>
    </xf>
    <xf numFmtId="172" fontId="7" fillId="6" borderId="2" xfId="0" applyNumberFormat="1" applyFont="1" applyFill="1" applyBorder="1" applyAlignment="1">
      <alignment horizontal="center" vertical="center" wrapText="1"/>
    </xf>
    <xf numFmtId="172" fontId="6" fillId="6" borderId="7" xfId="0" applyNumberFormat="1" applyFont="1" applyFill="1" applyBorder="1" applyAlignment="1">
      <alignment horizontal="center" vertical="center" wrapText="1"/>
    </xf>
    <xf numFmtId="172" fontId="7" fillId="6" borderId="7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174" fontId="6" fillId="6" borderId="2" xfId="0" applyNumberFormat="1" applyFont="1" applyFill="1" applyBorder="1" applyAlignment="1">
      <alignment horizontal="center" vertical="center" wrapText="1"/>
    </xf>
    <xf numFmtId="179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2" fontId="6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6" fillId="6" borderId="4" xfId="0" applyFont="1" applyFill="1" applyBorder="1" applyAlignment="1">
      <alignment vertical="top" wrapText="1"/>
    </xf>
    <xf numFmtId="172" fontId="7" fillId="7" borderId="2" xfId="0" applyNumberFormat="1" applyFont="1" applyFill="1" applyBorder="1" applyAlignment="1">
      <alignment horizontal="center" vertical="center" wrapText="1"/>
    </xf>
    <xf numFmtId="172" fontId="6" fillId="7" borderId="2" xfId="0" applyNumberFormat="1" applyFont="1" applyFill="1" applyBorder="1" applyAlignment="1">
      <alignment horizontal="center" vertical="center" wrapText="1"/>
    </xf>
    <xf numFmtId="176" fontId="6" fillId="7" borderId="2" xfId="0" applyNumberFormat="1" applyFont="1" applyFill="1" applyBorder="1" applyAlignment="1">
      <alignment horizontal="center" vertical="center" wrapText="1"/>
    </xf>
    <xf numFmtId="172" fontId="6" fillId="7" borderId="2" xfId="0" applyNumberFormat="1" applyFont="1" applyFill="1" applyBorder="1" applyAlignment="1">
      <alignment horizontal="center" wrapText="1"/>
    </xf>
    <xf numFmtId="172" fontId="6" fillId="7" borderId="2" xfId="0" applyNumberFormat="1" applyFont="1" applyFill="1" applyBorder="1" applyAlignment="1">
      <alignment horizontal="center" vertical="top" wrapText="1"/>
    </xf>
    <xf numFmtId="176" fontId="6" fillId="7" borderId="2" xfId="0" applyNumberFormat="1" applyFont="1" applyFill="1" applyBorder="1" applyAlignment="1">
      <alignment horizontal="center" vertical="top" wrapText="1"/>
    </xf>
    <xf numFmtId="172" fontId="11" fillId="7" borderId="2" xfId="0" applyNumberFormat="1" applyFont="1" applyFill="1" applyBorder="1" applyAlignment="1">
      <alignment horizontal="center" vertical="top" wrapText="1"/>
    </xf>
    <xf numFmtId="172" fontId="9" fillId="7" borderId="2" xfId="0" applyNumberFormat="1" applyFont="1" applyFill="1" applyBorder="1" applyAlignment="1">
      <alignment horizontal="center" vertical="top" wrapText="1"/>
    </xf>
    <xf numFmtId="4" fontId="7" fillId="6" borderId="6" xfId="0" applyNumberFormat="1" applyFont="1" applyFill="1" applyBorder="1" applyAlignment="1">
      <alignment horizontal="center" vertical="center" wrapText="1"/>
    </xf>
    <xf numFmtId="172" fontId="7" fillId="6" borderId="6" xfId="0" applyNumberFormat="1" applyFont="1" applyFill="1" applyBorder="1" applyAlignment="1">
      <alignment horizontal="center" vertical="center" wrapText="1"/>
    </xf>
    <xf numFmtId="4" fontId="6" fillId="6" borderId="6" xfId="0" applyNumberFormat="1" applyFont="1" applyFill="1" applyBorder="1" applyAlignment="1">
      <alignment horizontal="center" vertical="center" wrapText="1"/>
    </xf>
    <xf numFmtId="176" fontId="6" fillId="6" borderId="2" xfId="0" applyNumberFormat="1" applyFont="1" applyFill="1" applyBorder="1" applyAlignment="1">
      <alignment horizontal="center" vertical="center" wrapText="1"/>
    </xf>
    <xf numFmtId="172" fontId="7" fillId="6" borderId="0" xfId="0" applyNumberFormat="1" applyFont="1" applyFill="1" applyBorder="1" applyAlignment="1">
      <alignment horizontal="center" vertical="center" wrapText="1"/>
    </xf>
    <xf numFmtId="0" fontId="6" fillId="7" borderId="0" xfId="0" applyFont="1" applyFill="1" applyAlignment="1">
      <alignment wrapText="1"/>
    </xf>
    <xf numFmtId="0" fontId="6" fillId="6" borderId="0" xfId="0" applyFont="1" applyFill="1" applyBorder="1"/>
    <xf numFmtId="0" fontId="0" fillId="6" borderId="0" xfId="0" applyFont="1" applyFill="1"/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16" fontId="6" fillId="5" borderId="2" xfId="0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 wrapText="1"/>
    </xf>
    <xf numFmtId="14" fontId="7" fillId="2" borderId="15" xfId="0" applyNumberFormat="1" applyFont="1" applyFill="1" applyBorder="1" applyAlignment="1">
      <alignment vertical="top" wrapText="1"/>
    </xf>
    <xf numFmtId="0" fontId="7" fillId="2" borderId="9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right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2" fontId="6" fillId="2" borderId="2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top" wrapText="1"/>
    </xf>
    <xf numFmtId="14" fontId="6" fillId="2" borderId="2" xfId="0" applyNumberFormat="1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16" fontId="6" fillId="4" borderId="2" xfId="0" applyNumberFormat="1" applyFont="1" applyFill="1" applyBorder="1" applyAlignment="1">
      <alignment vertical="top" wrapText="1"/>
    </xf>
    <xf numFmtId="16" fontId="6" fillId="0" borderId="2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 wrapText="1" indent="15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49" fontId="6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0" xfId="0" applyFont="1" applyBorder="1" applyAlignment="1">
      <alignment horizontal="right"/>
    </xf>
    <xf numFmtId="0" fontId="7" fillId="0" borderId="2" xfId="0" applyFont="1" applyBorder="1" applyAlignment="1">
      <alignment vertical="top" wrapText="1"/>
    </xf>
    <xf numFmtId="0" fontId="6" fillId="2" borderId="0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9" fontId="6" fillId="2" borderId="6" xfId="0" applyNumberFormat="1" applyFont="1" applyFill="1" applyBorder="1" applyAlignment="1">
      <alignment horizontal="center" vertical="top" wrapText="1"/>
    </xf>
    <xf numFmtId="16" fontId="6" fillId="2" borderId="2" xfId="0" applyNumberFormat="1" applyFont="1" applyFill="1" applyBorder="1" applyAlignment="1">
      <alignment horizontal="center" vertical="top" wrapText="1"/>
    </xf>
    <xf numFmtId="16" fontId="6" fillId="2" borderId="7" xfId="0" applyNumberFormat="1" applyFont="1" applyFill="1" applyBorder="1" applyAlignment="1">
      <alignment horizontal="center" vertical="top" wrapText="1"/>
    </xf>
    <xf numFmtId="16" fontId="7" fillId="2" borderId="2" xfId="0" applyNumberFormat="1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vertical="top" wrapText="1"/>
    </xf>
    <xf numFmtId="2" fontId="6" fillId="0" borderId="2" xfId="0" applyNumberFormat="1" applyFont="1" applyBorder="1" applyAlignment="1">
      <alignment vertical="top" wrapText="1"/>
    </xf>
    <xf numFmtId="172" fontId="6" fillId="2" borderId="12" xfId="0" applyNumberFormat="1" applyFont="1" applyFill="1" applyBorder="1" applyAlignment="1">
      <alignment horizontal="center" vertical="center" wrapText="1"/>
    </xf>
    <xf numFmtId="172" fontId="6" fillId="2" borderId="28" xfId="0" applyNumberFormat="1" applyFont="1" applyFill="1" applyBorder="1" applyAlignment="1">
      <alignment horizontal="center" vertical="center" wrapText="1"/>
    </xf>
    <xf numFmtId="172" fontId="6" fillId="2" borderId="9" xfId="0" applyNumberFormat="1" applyFont="1" applyFill="1" applyBorder="1" applyAlignment="1">
      <alignment horizontal="center" vertical="center" wrapText="1"/>
    </xf>
    <xf numFmtId="14" fontId="6" fillId="2" borderId="27" xfId="0" applyNumberFormat="1" applyFont="1" applyFill="1" applyBorder="1" applyAlignment="1">
      <alignment vertical="top" wrapText="1"/>
    </xf>
    <xf numFmtId="14" fontId="7" fillId="2" borderId="2" xfId="0" applyNumberFormat="1" applyFont="1" applyFill="1" applyBorder="1" applyAlignment="1">
      <alignment vertical="top" wrapText="1"/>
    </xf>
    <xf numFmtId="14" fontId="6" fillId="2" borderId="7" xfId="0" applyNumberFormat="1" applyFont="1" applyFill="1" applyBorder="1" applyAlignment="1">
      <alignment vertical="top" wrapText="1"/>
    </xf>
    <xf numFmtId="14" fontId="7" fillId="2" borderId="7" xfId="0" applyNumberFormat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10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6" fillId="7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20" xfId="0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top" wrapText="1"/>
    </xf>
    <xf numFmtId="2" fontId="6" fillId="0" borderId="16" xfId="0" applyNumberFormat="1" applyFont="1" applyBorder="1" applyAlignment="1">
      <alignment horizontal="center" vertical="top" wrapText="1"/>
    </xf>
    <xf numFmtId="16" fontId="6" fillId="0" borderId="16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16" fontId="7" fillId="0" borderId="16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/>
    </xf>
    <xf numFmtId="16" fontId="7" fillId="0" borderId="9" xfId="0" applyNumberFormat="1" applyFont="1" applyBorder="1" applyAlignment="1">
      <alignment horizontal="center" vertical="top" wrapText="1"/>
    </xf>
    <xf numFmtId="16" fontId="6" fillId="0" borderId="9" xfId="0" applyNumberFormat="1" applyFont="1" applyBorder="1" applyAlignment="1">
      <alignment horizontal="center" vertical="top" wrapText="1"/>
    </xf>
    <xf numFmtId="16" fontId="7" fillId="0" borderId="8" xfId="0" applyNumberFormat="1" applyFont="1" applyBorder="1" applyAlignment="1">
      <alignment horizontal="center" vertical="top" wrapText="1"/>
    </xf>
    <xf numFmtId="16" fontId="7" fillId="0" borderId="18" xfId="0" applyNumberFormat="1" applyFont="1" applyBorder="1" applyAlignment="1">
      <alignment horizontal="center" vertical="top" wrapText="1"/>
    </xf>
    <xf numFmtId="16" fontId="7" fillId="0" borderId="11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16" fontId="6" fillId="0" borderId="8" xfId="0" applyNumberFormat="1" applyFont="1" applyBorder="1" applyAlignment="1">
      <alignment horizontal="center" vertical="top" wrapText="1"/>
    </xf>
    <xf numFmtId="16" fontId="6" fillId="0" borderId="18" xfId="0" applyNumberFormat="1" applyFont="1" applyBorder="1" applyAlignment="1">
      <alignment horizontal="center" vertical="top" wrapText="1"/>
    </xf>
    <xf numFmtId="16" fontId="6" fillId="0" borderId="11" xfId="0" applyNumberFormat="1" applyFont="1" applyBorder="1" applyAlignment="1">
      <alignment horizontal="center" vertical="top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7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top"/>
    </xf>
    <xf numFmtId="0" fontId="6" fillId="0" borderId="20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14" fontId="6" fillId="2" borderId="10" xfId="0" applyNumberFormat="1" applyFont="1" applyFill="1" applyBorder="1" applyAlignment="1">
      <alignment vertical="top" wrapText="1"/>
    </xf>
    <xf numFmtId="14" fontId="6" fillId="2" borderId="6" xfId="0" applyNumberFormat="1" applyFont="1" applyFill="1" applyBorder="1" applyAlignment="1">
      <alignment vertical="top" wrapText="1"/>
    </xf>
    <xf numFmtId="14" fontId="7" fillId="2" borderId="10" xfId="0" applyNumberFormat="1" applyFont="1" applyFill="1" applyBorder="1" applyAlignment="1">
      <alignment vertical="top" wrapText="1"/>
    </xf>
    <xf numFmtId="14" fontId="7" fillId="2" borderId="6" xfId="0" applyNumberFormat="1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49" fontId="6" fillId="0" borderId="17" xfId="0" applyNumberFormat="1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2"/>
  <sheetViews>
    <sheetView tabSelected="1" view="pageBreakPreview" topLeftCell="A23" zoomScale="46" zoomScaleNormal="100" zoomScaleSheetLayoutView="46" workbookViewId="0">
      <selection activeCell="G331" sqref="G331"/>
    </sheetView>
  </sheetViews>
  <sheetFormatPr defaultRowHeight="12.75" customHeight="1" x14ac:dyDescent="0.2"/>
  <cols>
    <col min="1" max="1" width="8.42578125" style="1" customWidth="1"/>
    <col min="2" max="2" width="54.42578125" style="2" customWidth="1"/>
    <col min="3" max="3" width="24.28515625" style="2" customWidth="1"/>
    <col min="4" max="4" width="30.42578125" style="1" customWidth="1"/>
    <col min="5" max="5" width="11" style="1" customWidth="1"/>
    <col min="6" max="6" width="22" style="1" customWidth="1"/>
    <col min="7" max="7" width="22.7109375" style="1" customWidth="1"/>
    <col min="8" max="8" width="22.7109375" style="124" customWidth="1"/>
    <col min="9" max="9" width="25.140625" style="177" customWidth="1"/>
    <col min="10" max="10" width="21.5703125" style="1" customWidth="1"/>
    <col min="11" max="11" width="21.140625" style="1" customWidth="1"/>
    <col min="12" max="12" width="20.7109375" style="1" customWidth="1"/>
    <col min="13" max="13" width="25.42578125" style="1" customWidth="1"/>
    <col min="14" max="14" width="41.5703125" style="1" customWidth="1"/>
    <col min="15" max="15" width="24.5703125" style="1" customWidth="1"/>
    <col min="16" max="17" width="9.140625" style="1"/>
    <col min="18" max="18" width="29.140625" style="1" customWidth="1"/>
    <col min="19" max="16384" width="9.140625" style="1"/>
  </cols>
  <sheetData>
    <row r="1" spans="1:15" ht="26.25" customHeight="1" x14ac:dyDescent="0.4">
      <c r="A1" s="212" t="s">
        <v>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100">
        <v>15</v>
      </c>
    </row>
    <row r="2" spans="1:15" ht="21" customHeight="1" x14ac:dyDescent="0.2">
      <c r="A2" s="212" t="s">
        <v>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5" ht="9.75" customHeight="1" x14ac:dyDescent="0.2">
      <c r="A3" s="9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1:15" ht="22.5" customHeight="1" x14ac:dyDescent="0.2">
      <c r="A4" s="214"/>
      <c r="B4" s="215" t="s">
        <v>4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1:15" ht="23.25" customHeight="1" x14ac:dyDescent="0.2">
      <c r="A5" s="214"/>
      <c r="B5" s="215" t="s">
        <v>5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</row>
    <row r="6" spans="1:15" s="3" customFormat="1" ht="189.75" customHeight="1" x14ac:dyDescent="0.2">
      <c r="A6" s="218" t="s">
        <v>6</v>
      </c>
      <c r="B6" s="211" t="s">
        <v>7</v>
      </c>
      <c r="C6" s="211" t="s">
        <v>8</v>
      </c>
      <c r="D6" s="204" t="s">
        <v>9</v>
      </c>
      <c r="E6" s="204" t="s">
        <v>10</v>
      </c>
      <c r="F6" s="10" t="s">
        <v>11</v>
      </c>
      <c r="G6" s="204" t="s">
        <v>12</v>
      </c>
      <c r="H6" s="217" t="s">
        <v>13</v>
      </c>
      <c r="I6" s="217"/>
      <c r="J6" s="217"/>
      <c r="K6" s="217"/>
      <c r="L6" s="217"/>
      <c r="M6" s="204" t="s">
        <v>14</v>
      </c>
      <c r="N6" s="216" t="s">
        <v>15</v>
      </c>
    </row>
    <row r="7" spans="1:15" s="3" customFormat="1" ht="48" customHeight="1" x14ac:dyDescent="0.2">
      <c r="A7" s="218"/>
      <c r="B7" s="211"/>
      <c r="C7" s="211"/>
      <c r="D7" s="204"/>
      <c r="E7" s="204"/>
      <c r="F7" s="11" t="s">
        <v>16</v>
      </c>
      <c r="G7" s="204"/>
      <c r="H7" s="116" t="s">
        <v>17</v>
      </c>
      <c r="I7" s="145" t="s">
        <v>18</v>
      </c>
      <c r="J7" s="11" t="s">
        <v>19</v>
      </c>
      <c r="K7" s="11" t="s">
        <v>20</v>
      </c>
      <c r="L7" s="11" t="s">
        <v>21</v>
      </c>
      <c r="M7" s="204"/>
      <c r="N7" s="216"/>
    </row>
    <row r="8" spans="1:15" s="5" customFormat="1" ht="35.25" customHeight="1" thickBot="1" x14ac:dyDescent="0.25">
      <c r="A8" s="60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117">
        <v>8</v>
      </c>
      <c r="I8" s="146">
        <v>9</v>
      </c>
      <c r="J8" s="61">
        <v>10</v>
      </c>
      <c r="K8" s="61">
        <v>11</v>
      </c>
      <c r="L8" s="61">
        <v>12</v>
      </c>
      <c r="M8" s="61">
        <v>13</v>
      </c>
      <c r="N8" s="62">
        <v>14</v>
      </c>
    </row>
    <row r="9" spans="1:15" ht="57" customHeight="1" thickBot="1" x14ac:dyDescent="0.25">
      <c r="A9" s="218" t="s">
        <v>22</v>
      </c>
      <c r="B9" s="211" t="s">
        <v>346</v>
      </c>
      <c r="C9" s="219" t="s">
        <v>23</v>
      </c>
      <c r="D9" s="15" t="s">
        <v>24</v>
      </c>
      <c r="E9" s="220" t="s">
        <v>25</v>
      </c>
      <c r="F9" s="16">
        <f>F10+F12+F13</f>
        <v>13704.1</v>
      </c>
      <c r="G9" s="16">
        <f>H9+I9+J9+K9+L9</f>
        <v>158396.79999999999</v>
      </c>
      <c r="H9" s="91">
        <f>H10+H12+H13+H11</f>
        <v>60559.9</v>
      </c>
      <c r="I9" s="147">
        <f>I10+I12+I13+I11</f>
        <v>60295.9</v>
      </c>
      <c r="J9" s="91">
        <f>J10+J12+J13+J11</f>
        <v>18612</v>
      </c>
      <c r="K9" s="91">
        <f>K10+K12+K13+K11</f>
        <v>18612</v>
      </c>
      <c r="L9" s="91">
        <f>L10+L12+L13+L11</f>
        <v>317</v>
      </c>
      <c r="M9" s="221" t="s">
        <v>26</v>
      </c>
      <c r="N9" s="223" t="s">
        <v>289</v>
      </c>
    </row>
    <row r="10" spans="1:15" ht="69" customHeight="1" thickBot="1" x14ac:dyDescent="0.25">
      <c r="A10" s="218"/>
      <c r="B10" s="211"/>
      <c r="C10" s="219"/>
      <c r="D10" s="17" t="s">
        <v>27</v>
      </c>
      <c r="E10" s="220"/>
      <c r="F10" s="18">
        <f>F15+F23</f>
        <v>13215</v>
      </c>
      <c r="G10" s="18">
        <f>H10+I10+J10+K10+L10</f>
        <v>71631</v>
      </c>
      <c r="H10" s="76">
        <f>H15+H19+H23+H27+H31</f>
        <v>18246</v>
      </c>
      <c r="I10" s="148">
        <f>I15+I19+I23+I27</f>
        <v>17795</v>
      </c>
      <c r="J10" s="76">
        <f>J15+J19+J23+J27</f>
        <v>17795</v>
      </c>
      <c r="K10" s="76">
        <f>K15+K19+K23+K27</f>
        <v>17795</v>
      </c>
      <c r="L10" s="18">
        <f>L15</f>
        <v>0</v>
      </c>
      <c r="M10" s="221"/>
      <c r="N10" s="223"/>
    </row>
    <row r="11" spans="1:15" ht="69" customHeight="1" thickBot="1" x14ac:dyDescent="0.25">
      <c r="A11" s="218"/>
      <c r="B11" s="211"/>
      <c r="C11" s="219"/>
      <c r="D11" s="17" t="s">
        <v>292</v>
      </c>
      <c r="E11" s="220"/>
      <c r="F11" s="18">
        <f>F32</f>
        <v>0</v>
      </c>
      <c r="G11" s="18">
        <f>H11+I11+J11+K11+L11</f>
        <v>82155.3</v>
      </c>
      <c r="H11" s="76">
        <f>H32</f>
        <v>41735.4</v>
      </c>
      <c r="I11" s="148">
        <f>I32</f>
        <v>40419.9</v>
      </c>
      <c r="J11" s="76">
        <f>J32</f>
        <v>0</v>
      </c>
      <c r="K11" s="76">
        <f>K32</f>
        <v>0</v>
      </c>
      <c r="L11" s="18">
        <f>L32</f>
        <v>0</v>
      </c>
      <c r="M11" s="221"/>
      <c r="N11" s="223"/>
    </row>
    <row r="12" spans="1:15" ht="50.25" customHeight="1" thickBot="1" x14ac:dyDescent="0.25">
      <c r="A12" s="218"/>
      <c r="B12" s="211"/>
      <c r="C12" s="219"/>
      <c r="D12" s="17" t="s">
        <v>28</v>
      </c>
      <c r="E12" s="220"/>
      <c r="F12" s="18">
        <f>F16+F20+F24+F28+F33</f>
        <v>489.1</v>
      </c>
      <c r="G12" s="18">
        <f>H12+I12+J12+K12+L12</f>
        <v>4610.5</v>
      </c>
      <c r="H12" s="76">
        <f>H16+H20+H24+H28+H33</f>
        <v>578.5</v>
      </c>
      <c r="I12" s="148">
        <f>I16+I20+I24+I28+I33</f>
        <v>2081</v>
      </c>
      <c r="J12" s="76">
        <f>J16+J20+J24+J28+J33</f>
        <v>817</v>
      </c>
      <c r="K12" s="76">
        <f>K16+K20+K24+K28+K33</f>
        <v>817</v>
      </c>
      <c r="L12" s="18">
        <f>L16+L20+L24+L28+L33</f>
        <v>317</v>
      </c>
      <c r="M12" s="221"/>
      <c r="N12" s="223"/>
    </row>
    <row r="13" spans="1:15" ht="48.75" customHeight="1" x14ac:dyDescent="0.2">
      <c r="A13" s="218"/>
      <c r="B13" s="211"/>
      <c r="C13" s="219"/>
      <c r="D13" s="17" t="s">
        <v>29</v>
      </c>
      <c r="E13" s="220"/>
      <c r="F13" s="18">
        <f>F17</f>
        <v>0</v>
      </c>
      <c r="G13" s="18">
        <f>H13+I13+J13+K13+L13</f>
        <v>0</v>
      </c>
      <c r="H13" s="76">
        <f>H17+H34</f>
        <v>0</v>
      </c>
      <c r="I13" s="148">
        <f>I17+I34</f>
        <v>0</v>
      </c>
      <c r="J13" s="76">
        <f>J17+J34</f>
        <v>0</v>
      </c>
      <c r="K13" s="76">
        <f>K17+K34</f>
        <v>0</v>
      </c>
      <c r="L13" s="18">
        <f>L17</f>
        <v>0</v>
      </c>
      <c r="M13" s="222"/>
      <c r="N13" s="224"/>
    </row>
    <row r="14" spans="1:15" ht="101.25" customHeight="1" x14ac:dyDescent="0.2">
      <c r="A14" s="225" t="s">
        <v>30</v>
      </c>
      <c r="B14" s="180" t="s">
        <v>336</v>
      </c>
      <c r="C14" s="180" t="s">
        <v>31</v>
      </c>
      <c r="D14" s="20" t="s">
        <v>24</v>
      </c>
      <c r="E14" s="226" t="s">
        <v>25</v>
      </c>
      <c r="F14" s="21">
        <f>F15+F16+F17</f>
        <v>7433</v>
      </c>
      <c r="G14" s="21">
        <f t="shared" ref="G14:L14" si="0">G15+G16+G17</f>
        <v>39182</v>
      </c>
      <c r="H14" s="81">
        <f t="shared" si="0"/>
        <v>8948</v>
      </c>
      <c r="I14" s="149">
        <f t="shared" si="0"/>
        <v>10078</v>
      </c>
      <c r="J14" s="81">
        <f>J15+J16+J17</f>
        <v>10078</v>
      </c>
      <c r="K14" s="81">
        <f>K15+K16+K17</f>
        <v>10078</v>
      </c>
      <c r="L14" s="105">
        <f t="shared" si="0"/>
        <v>0</v>
      </c>
      <c r="M14" s="227" t="s">
        <v>26</v>
      </c>
      <c r="N14" s="227" t="s">
        <v>295</v>
      </c>
    </row>
    <row r="15" spans="1:15" ht="72.75" customHeight="1" x14ac:dyDescent="0.2">
      <c r="A15" s="225"/>
      <c r="B15" s="180"/>
      <c r="C15" s="180"/>
      <c r="D15" s="17" t="s">
        <v>27</v>
      </c>
      <c r="E15" s="226"/>
      <c r="F15" s="18">
        <v>7433</v>
      </c>
      <c r="G15" s="18">
        <f>H15+I15+J15+K15+L15</f>
        <v>39182</v>
      </c>
      <c r="H15" s="76">
        <v>8948</v>
      </c>
      <c r="I15" s="148">
        <v>10078</v>
      </c>
      <c r="J15" s="76">
        <v>10078</v>
      </c>
      <c r="K15" s="76">
        <v>10078</v>
      </c>
      <c r="L15" s="75"/>
      <c r="M15" s="227"/>
      <c r="N15" s="227"/>
    </row>
    <row r="16" spans="1:15" ht="52.5" customHeight="1" x14ac:dyDescent="0.2">
      <c r="A16" s="225"/>
      <c r="B16" s="180"/>
      <c r="C16" s="180"/>
      <c r="D16" s="17" t="s">
        <v>28</v>
      </c>
      <c r="E16" s="226"/>
      <c r="F16" s="18"/>
      <c r="G16" s="18">
        <f>H16+I16+J16+K16+L16</f>
        <v>0</v>
      </c>
      <c r="H16" s="76"/>
      <c r="I16" s="148"/>
      <c r="J16" s="76"/>
      <c r="K16" s="76"/>
      <c r="L16" s="75"/>
      <c r="M16" s="227"/>
      <c r="N16" s="227"/>
    </row>
    <row r="17" spans="1:14" ht="52.5" customHeight="1" x14ac:dyDescent="0.2">
      <c r="A17" s="225"/>
      <c r="B17" s="180"/>
      <c r="C17" s="180"/>
      <c r="D17" s="17" t="s">
        <v>29</v>
      </c>
      <c r="E17" s="226"/>
      <c r="F17" s="18"/>
      <c r="G17" s="18">
        <f>H17+I17+J17+K17+L17</f>
        <v>0</v>
      </c>
      <c r="H17" s="76"/>
      <c r="I17" s="148"/>
      <c r="J17" s="76"/>
      <c r="K17" s="76"/>
      <c r="L17" s="75"/>
      <c r="M17" s="227"/>
      <c r="N17" s="227"/>
    </row>
    <row r="18" spans="1:14" ht="38.25" customHeight="1" x14ac:dyDescent="0.2">
      <c r="A18" s="19" t="s">
        <v>32</v>
      </c>
      <c r="B18" s="197" t="s">
        <v>33</v>
      </c>
      <c r="C18" s="197"/>
      <c r="D18" s="17" t="s">
        <v>34</v>
      </c>
      <c r="E18" s="226" t="s">
        <v>25</v>
      </c>
      <c r="F18" s="18">
        <f>F19+F20+F21</f>
        <v>289.10000000000002</v>
      </c>
      <c r="G18" s="18">
        <f t="shared" ref="G18:L18" si="1">G19+G20+G21</f>
        <v>3021</v>
      </c>
      <c r="H18" s="76">
        <f t="shared" si="1"/>
        <v>489</v>
      </c>
      <c r="I18" s="148">
        <f t="shared" si="1"/>
        <v>1581</v>
      </c>
      <c r="J18" s="76">
        <f>J19+J20+J21</f>
        <v>317</v>
      </c>
      <c r="K18" s="76">
        <f>K19+K20+K21</f>
        <v>317</v>
      </c>
      <c r="L18" s="75">
        <f t="shared" si="1"/>
        <v>317</v>
      </c>
      <c r="M18" s="227" t="s">
        <v>26</v>
      </c>
      <c r="N18" s="227" t="s">
        <v>295</v>
      </c>
    </row>
    <row r="19" spans="1:14" ht="49.5" customHeight="1" x14ac:dyDescent="0.2">
      <c r="A19" s="19"/>
      <c r="B19" s="197"/>
      <c r="C19" s="197"/>
      <c r="D19" s="17" t="s">
        <v>27</v>
      </c>
      <c r="E19" s="226"/>
      <c r="F19" s="18"/>
      <c r="G19" s="18"/>
      <c r="H19" s="76"/>
      <c r="I19" s="148"/>
      <c r="J19" s="76"/>
      <c r="K19" s="76"/>
      <c r="L19" s="75"/>
      <c r="M19" s="227"/>
      <c r="N19" s="227"/>
    </row>
    <row r="20" spans="1:14" ht="50.25" customHeight="1" x14ac:dyDescent="0.2">
      <c r="A20" s="19"/>
      <c r="B20" s="197"/>
      <c r="C20" s="197"/>
      <c r="D20" s="17" t="s">
        <v>28</v>
      </c>
      <c r="E20" s="226"/>
      <c r="F20" s="18">
        <v>289.10000000000002</v>
      </c>
      <c r="G20" s="18">
        <f>H20+I20+J20+K20+L20</f>
        <v>3021</v>
      </c>
      <c r="H20" s="76">
        <f>317+172</f>
        <v>489</v>
      </c>
      <c r="I20" s="148">
        <f>317+1264</f>
        <v>1581</v>
      </c>
      <c r="J20" s="76">
        <v>317</v>
      </c>
      <c r="K20" s="76">
        <v>317</v>
      </c>
      <c r="L20" s="75">
        <v>317</v>
      </c>
      <c r="M20" s="227"/>
      <c r="N20" s="227"/>
    </row>
    <row r="21" spans="1:14" ht="48" customHeight="1" x14ac:dyDescent="0.2">
      <c r="A21" s="19"/>
      <c r="B21" s="197"/>
      <c r="C21" s="197"/>
      <c r="D21" s="17" t="s">
        <v>29</v>
      </c>
      <c r="E21" s="226"/>
      <c r="F21" s="18"/>
      <c r="G21" s="18"/>
      <c r="H21" s="76"/>
      <c r="I21" s="148"/>
      <c r="J21" s="76"/>
      <c r="K21" s="76"/>
      <c r="L21" s="75"/>
      <c r="M21" s="227"/>
      <c r="N21" s="227"/>
    </row>
    <row r="22" spans="1:14" ht="38.25" customHeight="1" x14ac:dyDescent="0.2">
      <c r="A22" s="228" t="s">
        <v>35</v>
      </c>
      <c r="B22" s="197" t="s">
        <v>334</v>
      </c>
      <c r="C22" s="197" t="s">
        <v>36</v>
      </c>
      <c r="D22" s="17" t="s">
        <v>34</v>
      </c>
      <c r="E22" s="226" t="s">
        <v>25</v>
      </c>
      <c r="F22" s="18">
        <f>F23+F24+F25</f>
        <v>5782</v>
      </c>
      <c r="G22" s="18">
        <f>H22+I22+J22+K22+L22</f>
        <v>32449</v>
      </c>
      <c r="H22" s="76">
        <f>H23+H24+H25</f>
        <v>9298</v>
      </c>
      <c r="I22" s="148">
        <f>I23+I24+I25</f>
        <v>7717</v>
      </c>
      <c r="J22" s="76">
        <f>J23+J24+J25</f>
        <v>7717</v>
      </c>
      <c r="K22" s="76">
        <f>K23+K24+K25</f>
        <v>7717</v>
      </c>
      <c r="L22" s="75"/>
      <c r="M22" s="227" t="s">
        <v>26</v>
      </c>
      <c r="N22" s="227" t="s">
        <v>37</v>
      </c>
    </row>
    <row r="23" spans="1:14" ht="75" customHeight="1" x14ac:dyDescent="0.2">
      <c r="A23" s="228"/>
      <c r="B23" s="197"/>
      <c r="C23" s="197"/>
      <c r="D23" s="17" t="s">
        <v>27</v>
      </c>
      <c r="E23" s="226"/>
      <c r="F23" s="18">
        <v>5782</v>
      </c>
      <c r="G23" s="18">
        <f>H23+I23+J23+K23+L23</f>
        <v>32449</v>
      </c>
      <c r="H23" s="76">
        <f>6016+3282</f>
        <v>9298</v>
      </c>
      <c r="I23" s="148">
        <f>7748-31</f>
        <v>7717</v>
      </c>
      <c r="J23" s="76">
        <f>7748-31</f>
        <v>7717</v>
      </c>
      <c r="K23" s="76">
        <f>7748-31</f>
        <v>7717</v>
      </c>
      <c r="L23" s="75"/>
      <c r="M23" s="227"/>
      <c r="N23" s="227"/>
    </row>
    <row r="24" spans="1:14" ht="51.75" customHeight="1" x14ac:dyDescent="0.2">
      <c r="A24" s="228"/>
      <c r="B24" s="197"/>
      <c r="C24" s="197"/>
      <c r="D24" s="17" t="s">
        <v>28</v>
      </c>
      <c r="E24" s="226"/>
      <c r="F24" s="18"/>
      <c r="G24" s="18"/>
      <c r="H24" s="76"/>
      <c r="I24" s="148"/>
      <c r="J24" s="76"/>
      <c r="K24" s="76"/>
      <c r="L24" s="75"/>
      <c r="M24" s="227"/>
      <c r="N24" s="227"/>
    </row>
    <row r="25" spans="1:14" ht="47.25" customHeight="1" x14ac:dyDescent="0.2">
      <c r="A25" s="228"/>
      <c r="B25" s="197"/>
      <c r="C25" s="197"/>
      <c r="D25" s="17" t="s">
        <v>29</v>
      </c>
      <c r="E25" s="226"/>
      <c r="F25" s="18"/>
      <c r="G25" s="18"/>
      <c r="H25" s="76"/>
      <c r="I25" s="148"/>
      <c r="J25" s="76"/>
      <c r="K25" s="76"/>
      <c r="L25" s="75"/>
      <c r="M25" s="227"/>
      <c r="N25" s="227"/>
    </row>
    <row r="26" spans="1:14" ht="34.5" customHeight="1" x14ac:dyDescent="0.2">
      <c r="A26" s="229" t="s">
        <v>38</v>
      </c>
      <c r="B26" s="197" t="s">
        <v>39</v>
      </c>
      <c r="C26" s="197" t="s">
        <v>40</v>
      </c>
      <c r="D26" s="17" t="s">
        <v>34</v>
      </c>
      <c r="E26" s="226" t="s">
        <v>25</v>
      </c>
      <c r="F26" s="18">
        <f>F27+F28+F29</f>
        <v>200</v>
      </c>
      <c r="G26" s="18">
        <f>G27+G28+G29</f>
        <v>0</v>
      </c>
      <c r="H26" s="76">
        <f>H27+H28+H29</f>
        <v>0</v>
      </c>
      <c r="I26" s="148">
        <f>+I27+I28+I29</f>
        <v>0</v>
      </c>
      <c r="J26" s="76">
        <f>+J27+J28+J29</f>
        <v>0</v>
      </c>
      <c r="K26" s="76">
        <f>+K27+K28+K29</f>
        <v>0</v>
      </c>
      <c r="L26" s="75"/>
      <c r="M26" s="227" t="s">
        <v>26</v>
      </c>
      <c r="N26" s="227" t="s">
        <v>41</v>
      </c>
    </row>
    <row r="27" spans="1:14" ht="72" customHeight="1" x14ac:dyDescent="0.2">
      <c r="A27" s="229"/>
      <c r="B27" s="197"/>
      <c r="C27" s="197"/>
      <c r="D27" s="17" t="s">
        <v>27</v>
      </c>
      <c r="E27" s="226"/>
      <c r="F27" s="18"/>
      <c r="G27" s="18"/>
      <c r="H27" s="76"/>
      <c r="I27" s="148"/>
      <c r="J27" s="76"/>
      <c r="K27" s="76"/>
      <c r="L27" s="75"/>
      <c r="M27" s="227"/>
      <c r="N27" s="227"/>
    </row>
    <row r="28" spans="1:14" ht="55.5" customHeight="1" x14ac:dyDescent="0.2">
      <c r="A28" s="229"/>
      <c r="B28" s="197"/>
      <c r="C28" s="197"/>
      <c r="D28" s="17" t="s">
        <v>28</v>
      </c>
      <c r="E28" s="226"/>
      <c r="F28" s="18">
        <v>200</v>
      </c>
      <c r="G28" s="18">
        <f>H28+I28+J28+K28+L28</f>
        <v>0</v>
      </c>
      <c r="H28" s="76">
        <v>0</v>
      </c>
      <c r="I28" s="148">
        <v>0</v>
      </c>
      <c r="J28" s="76">
        <v>0</v>
      </c>
      <c r="K28" s="76">
        <v>0</v>
      </c>
      <c r="L28" s="75"/>
      <c r="M28" s="227"/>
      <c r="N28" s="227"/>
    </row>
    <row r="29" spans="1:14" ht="45" customHeight="1" x14ac:dyDescent="0.2">
      <c r="A29" s="229"/>
      <c r="B29" s="197"/>
      <c r="C29" s="197"/>
      <c r="D29" s="17" t="s">
        <v>29</v>
      </c>
      <c r="E29" s="226"/>
      <c r="F29" s="18"/>
      <c r="G29" s="18"/>
      <c r="H29" s="76"/>
      <c r="I29" s="148"/>
      <c r="J29" s="76"/>
      <c r="K29" s="76"/>
      <c r="L29" s="75"/>
      <c r="M29" s="227"/>
      <c r="N29" s="227"/>
    </row>
    <row r="30" spans="1:14" ht="45" customHeight="1" x14ac:dyDescent="0.2">
      <c r="A30" s="316" t="s">
        <v>263</v>
      </c>
      <c r="B30" s="178" t="s">
        <v>278</v>
      </c>
      <c r="C30" s="178" t="s">
        <v>264</v>
      </c>
      <c r="D30" s="17" t="s">
        <v>34</v>
      </c>
      <c r="E30" s="283" t="s">
        <v>25</v>
      </c>
      <c r="F30" s="18">
        <f>F31+F33+F34</f>
        <v>0</v>
      </c>
      <c r="G30" s="18">
        <f>H30+I30+J30+K30+L30</f>
        <v>83744.800000000003</v>
      </c>
      <c r="H30" s="76">
        <f>H31+H32+H33+H34</f>
        <v>41824.9</v>
      </c>
      <c r="I30" s="148">
        <f>I31+I32+I33+I34</f>
        <v>40919.9</v>
      </c>
      <c r="J30" s="76">
        <f>J31+J32+J33+J34</f>
        <v>500</v>
      </c>
      <c r="K30" s="76">
        <f>K31+K32+K33+K34</f>
        <v>500</v>
      </c>
      <c r="L30" s="75">
        <f>L31+L33+L34</f>
        <v>0</v>
      </c>
      <c r="M30" s="227" t="s">
        <v>265</v>
      </c>
      <c r="N30" s="227" t="s">
        <v>266</v>
      </c>
    </row>
    <row r="31" spans="1:14" ht="71.25" customHeight="1" x14ac:dyDescent="0.2">
      <c r="A31" s="317"/>
      <c r="B31" s="179"/>
      <c r="C31" s="179"/>
      <c r="D31" s="17" t="s">
        <v>27</v>
      </c>
      <c r="E31" s="284"/>
      <c r="F31" s="18">
        <f>F36+F40+F44+F49</f>
        <v>0</v>
      </c>
      <c r="G31" s="18">
        <f t="shared" ref="G31:L31" si="2">G36+G40+G44+G49</f>
        <v>0</v>
      </c>
      <c r="H31" s="76">
        <f t="shared" si="2"/>
        <v>0</v>
      </c>
      <c r="I31" s="148">
        <f t="shared" si="2"/>
        <v>0</v>
      </c>
      <c r="J31" s="76">
        <f>J36+J40+J44+J49</f>
        <v>0</v>
      </c>
      <c r="K31" s="76">
        <f>K36+K40+K44+K49</f>
        <v>0</v>
      </c>
      <c r="L31" s="75">
        <f t="shared" si="2"/>
        <v>0</v>
      </c>
      <c r="M31" s="227"/>
      <c r="N31" s="227"/>
    </row>
    <row r="32" spans="1:14" ht="71.25" customHeight="1" x14ac:dyDescent="0.2">
      <c r="A32" s="317"/>
      <c r="B32" s="179"/>
      <c r="C32" s="179"/>
      <c r="D32" s="17" t="s">
        <v>292</v>
      </c>
      <c r="E32" s="284"/>
      <c r="F32" s="18">
        <f t="shared" ref="F32:L32" si="3">F45</f>
        <v>0</v>
      </c>
      <c r="G32" s="18">
        <f t="shared" si="3"/>
        <v>82155.3</v>
      </c>
      <c r="H32" s="76">
        <f>H45</f>
        <v>41735.4</v>
      </c>
      <c r="I32" s="150">
        <f>I45</f>
        <v>40419.9</v>
      </c>
      <c r="J32" s="76">
        <f>J45</f>
        <v>0</v>
      </c>
      <c r="K32" s="76">
        <f>K45</f>
        <v>0</v>
      </c>
      <c r="L32" s="75">
        <f t="shared" si="3"/>
        <v>0</v>
      </c>
      <c r="M32" s="227"/>
      <c r="N32" s="227"/>
    </row>
    <row r="33" spans="1:14" ht="43.5" customHeight="1" x14ac:dyDescent="0.2">
      <c r="A33" s="317"/>
      <c r="B33" s="179"/>
      <c r="C33" s="179"/>
      <c r="D33" s="17" t="s">
        <v>82</v>
      </c>
      <c r="E33" s="284"/>
      <c r="F33" s="18">
        <f t="shared" ref="F33:L33" si="4">F37+F41+F46+F50</f>
        <v>0</v>
      </c>
      <c r="G33" s="18">
        <f t="shared" si="4"/>
        <v>1589.5</v>
      </c>
      <c r="H33" s="76">
        <f t="shared" si="4"/>
        <v>89.5</v>
      </c>
      <c r="I33" s="148">
        <f t="shared" si="4"/>
        <v>500</v>
      </c>
      <c r="J33" s="76">
        <f>J37+J41+J46+J50</f>
        <v>500</v>
      </c>
      <c r="K33" s="76">
        <f>K37+K41+K46+K50</f>
        <v>500</v>
      </c>
      <c r="L33" s="75">
        <f t="shared" si="4"/>
        <v>0</v>
      </c>
      <c r="M33" s="227"/>
      <c r="N33" s="227"/>
    </row>
    <row r="34" spans="1:14" ht="45" customHeight="1" x14ac:dyDescent="0.2">
      <c r="A34" s="318"/>
      <c r="B34" s="180"/>
      <c r="C34" s="180"/>
      <c r="D34" s="17" t="s">
        <v>29</v>
      </c>
      <c r="E34" s="226"/>
      <c r="F34" s="18"/>
      <c r="G34" s="18">
        <f>H34+I34+J34+K34+L34</f>
        <v>0</v>
      </c>
      <c r="H34" s="76">
        <f>H38+H42+H47+H51</f>
        <v>0</v>
      </c>
      <c r="I34" s="148">
        <f>I38+I42+I47+I51</f>
        <v>0</v>
      </c>
      <c r="J34" s="76">
        <f>J38+J42+J47+J51</f>
        <v>0</v>
      </c>
      <c r="K34" s="76">
        <f>K38+K42+K47+K51</f>
        <v>0</v>
      </c>
      <c r="L34" s="75"/>
      <c r="M34" s="227"/>
      <c r="N34" s="227"/>
    </row>
    <row r="35" spans="1:14" ht="45" customHeight="1" x14ac:dyDescent="0.2">
      <c r="A35" s="316" t="s">
        <v>267</v>
      </c>
      <c r="B35" s="178" t="s">
        <v>268</v>
      </c>
      <c r="C35" s="178" t="s">
        <v>297</v>
      </c>
      <c r="D35" s="17" t="s">
        <v>34</v>
      </c>
      <c r="E35" s="283" t="s">
        <v>17</v>
      </c>
      <c r="F35" s="18">
        <f t="shared" ref="F35:L35" si="5">F36+F37+F38</f>
        <v>0</v>
      </c>
      <c r="G35" s="18">
        <f t="shared" si="5"/>
        <v>0</v>
      </c>
      <c r="H35" s="76">
        <f t="shared" si="5"/>
        <v>0</v>
      </c>
      <c r="I35" s="148">
        <f t="shared" si="5"/>
        <v>0</v>
      </c>
      <c r="J35" s="76">
        <f>J36+J37+J38</f>
        <v>0</v>
      </c>
      <c r="K35" s="76">
        <f>K36+K37+K38</f>
        <v>0</v>
      </c>
      <c r="L35" s="18">
        <f t="shared" si="5"/>
        <v>0</v>
      </c>
      <c r="M35" s="286" t="s">
        <v>265</v>
      </c>
      <c r="N35" s="286" t="s">
        <v>271</v>
      </c>
    </row>
    <row r="36" spans="1:14" ht="71.25" customHeight="1" x14ac:dyDescent="0.2">
      <c r="A36" s="317"/>
      <c r="B36" s="179"/>
      <c r="C36" s="179"/>
      <c r="D36" s="17" t="s">
        <v>27</v>
      </c>
      <c r="E36" s="284"/>
      <c r="F36" s="18"/>
      <c r="G36" s="18"/>
      <c r="H36" s="76"/>
      <c r="I36" s="148"/>
      <c r="J36" s="76"/>
      <c r="K36" s="76"/>
      <c r="L36" s="18"/>
      <c r="M36" s="286"/>
      <c r="N36" s="286"/>
    </row>
    <row r="37" spans="1:14" ht="45" customHeight="1" x14ac:dyDescent="0.2">
      <c r="A37" s="317"/>
      <c r="B37" s="179"/>
      <c r="C37" s="179"/>
      <c r="D37" s="17" t="s">
        <v>82</v>
      </c>
      <c r="E37" s="284"/>
      <c r="F37" s="18"/>
      <c r="G37" s="18">
        <f>H37+I37+J37+K37+L37</f>
        <v>0</v>
      </c>
      <c r="H37" s="76">
        <v>0</v>
      </c>
      <c r="I37" s="148"/>
      <c r="J37" s="76"/>
      <c r="K37" s="76"/>
      <c r="L37" s="18"/>
      <c r="M37" s="286"/>
      <c r="N37" s="286"/>
    </row>
    <row r="38" spans="1:14" ht="45" customHeight="1" x14ac:dyDescent="0.2">
      <c r="A38" s="318"/>
      <c r="B38" s="180"/>
      <c r="C38" s="180"/>
      <c r="D38" s="17" t="s">
        <v>29</v>
      </c>
      <c r="E38" s="226"/>
      <c r="F38" s="18"/>
      <c r="G38" s="18">
        <f>H38+I38+J38+K38+L38</f>
        <v>0</v>
      </c>
      <c r="H38" s="76">
        <v>0</v>
      </c>
      <c r="I38" s="148"/>
      <c r="J38" s="76"/>
      <c r="K38" s="76"/>
      <c r="L38" s="18"/>
      <c r="M38" s="230"/>
      <c r="N38" s="230"/>
    </row>
    <row r="39" spans="1:14" ht="45" customHeight="1" x14ac:dyDescent="0.2">
      <c r="A39" s="316" t="s">
        <v>269</v>
      </c>
      <c r="B39" s="178" t="s">
        <v>270</v>
      </c>
      <c r="C39" s="178" t="s">
        <v>264</v>
      </c>
      <c r="D39" s="17" t="s">
        <v>34</v>
      </c>
      <c r="E39" s="283" t="s">
        <v>18</v>
      </c>
      <c r="F39" s="18"/>
      <c r="G39" s="18">
        <f>G40+G41+G42</f>
        <v>0</v>
      </c>
      <c r="H39" s="76"/>
      <c r="I39" s="148">
        <f>I40+I41+I42</f>
        <v>0</v>
      </c>
      <c r="J39" s="76">
        <f>J40+J41+J42</f>
        <v>0</v>
      </c>
      <c r="K39" s="76">
        <f>K40+K41+K42</f>
        <v>0</v>
      </c>
      <c r="L39" s="18"/>
      <c r="M39" s="285" t="s">
        <v>265</v>
      </c>
      <c r="N39" s="285" t="s">
        <v>272</v>
      </c>
    </row>
    <row r="40" spans="1:14" ht="45" customHeight="1" x14ac:dyDescent="0.2">
      <c r="A40" s="317"/>
      <c r="B40" s="179"/>
      <c r="C40" s="179"/>
      <c r="D40" s="17" t="s">
        <v>27</v>
      </c>
      <c r="E40" s="284"/>
      <c r="F40" s="18"/>
      <c r="G40" s="18"/>
      <c r="H40" s="76"/>
      <c r="I40" s="148"/>
      <c r="J40" s="76"/>
      <c r="K40" s="76"/>
      <c r="L40" s="18"/>
      <c r="M40" s="286"/>
      <c r="N40" s="286"/>
    </row>
    <row r="41" spans="1:14" ht="45" customHeight="1" x14ac:dyDescent="0.2">
      <c r="A41" s="317"/>
      <c r="B41" s="179"/>
      <c r="C41" s="179"/>
      <c r="D41" s="17" t="s">
        <v>82</v>
      </c>
      <c r="E41" s="284"/>
      <c r="F41" s="18"/>
      <c r="G41" s="18">
        <f>H41+I41+J41+K41+L41</f>
        <v>0</v>
      </c>
      <c r="H41" s="76"/>
      <c r="I41" s="148">
        <v>0</v>
      </c>
      <c r="J41" s="76">
        <v>0</v>
      </c>
      <c r="K41" s="76">
        <v>0</v>
      </c>
      <c r="L41" s="18"/>
      <c r="M41" s="286"/>
      <c r="N41" s="286"/>
    </row>
    <row r="42" spans="1:14" ht="45" customHeight="1" x14ac:dyDescent="0.2">
      <c r="A42" s="318"/>
      <c r="B42" s="180"/>
      <c r="C42" s="180"/>
      <c r="D42" s="17" t="s">
        <v>29</v>
      </c>
      <c r="E42" s="226"/>
      <c r="F42" s="18"/>
      <c r="G42" s="18">
        <f>H42+I42+J42+K42+L42</f>
        <v>0</v>
      </c>
      <c r="H42" s="76"/>
      <c r="I42" s="148">
        <v>0</v>
      </c>
      <c r="J42" s="76">
        <v>0</v>
      </c>
      <c r="K42" s="76">
        <v>0</v>
      </c>
      <c r="L42" s="18"/>
      <c r="M42" s="230"/>
      <c r="N42" s="230"/>
    </row>
    <row r="43" spans="1:14" ht="45" customHeight="1" x14ac:dyDescent="0.2">
      <c r="A43" s="316" t="s">
        <v>273</v>
      </c>
      <c r="B43" s="178" t="s">
        <v>274</v>
      </c>
      <c r="C43" s="178" t="s">
        <v>297</v>
      </c>
      <c r="D43" s="17" t="s">
        <v>34</v>
      </c>
      <c r="E43" s="283" t="s">
        <v>19</v>
      </c>
      <c r="F43" s="18"/>
      <c r="G43" s="18">
        <f>SUM(H43:J43)</f>
        <v>82244.800000000003</v>
      </c>
      <c r="H43" s="76">
        <f>H44+H45+H46+H47</f>
        <v>41824.9</v>
      </c>
      <c r="I43" s="148">
        <v>40419.9</v>
      </c>
      <c r="J43" s="76">
        <v>0</v>
      </c>
      <c r="K43" s="76">
        <v>0</v>
      </c>
      <c r="L43" s="18"/>
      <c r="M43" s="285" t="s">
        <v>265</v>
      </c>
      <c r="N43" s="285" t="s">
        <v>272</v>
      </c>
    </row>
    <row r="44" spans="1:14" ht="69.75" customHeight="1" x14ac:dyDescent="0.2">
      <c r="A44" s="317"/>
      <c r="B44" s="179"/>
      <c r="C44" s="179"/>
      <c r="D44" s="17" t="s">
        <v>27</v>
      </c>
      <c r="E44" s="284"/>
      <c r="F44" s="18"/>
      <c r="G44" s="18"/>
      <c r="H44" s="76"/>
      <c r="I44" s="148"/>
      <c r="J44" s="76"/>
      <c r="K44" s="76"/>
      <c r="L44" s="18"/>
      <c r="M44" s="286"/>
      <c r="N44" s="286"/>
    </row>
    <row r="45" spans="1:14" ht="71.25" customHeight="1" x14ac:dyDescent="0.2">
      <c r="A45" s="317"/>
      <c r="B45" s="179"/>
      <c r="C45" s="179"/>
      <c r="D45" s="17" t="s">
        <v>292</v>
      </c>
      <c r="E45" s="284"/>
      <c r="F45" s="18"/>
      <c r="G45" s="18">
        <f>H45+I45+J45+K45+L45</f>
        <v>82155.3</v>
      </c>
      <c r="H45" s="76">
        <v>41735.4</v>
      </c>
      <c r="I45" s="148">
        <v>40419.9</v>
      </c>
      <c r="J45" s="76">
        <v>0</v>
      </c>
      <c r="K45" s="76">
        <v>0</v>
      </c>
      <c r="L45" s="18"/>
      <c r="M45" s="286"/>
      <c r="N45" s="286"/>
    </row>
    <row r="46" spans="1:14" ht="45" customHeight="1" x14ac:dyDescent="0.2">
      <c r="A46" s="317"/>
      <c r="B46" s="179"/>
      <c r="C46" s="179"/>
      <c r="D46" s="17" t="s">
        <v>82</v>
      </c>
      <c r="E46" s="284"/>
      <c r="F46" s="18"/>
      <c r="G46" s="18">
        <f>H46+I46+J46+K46+L46</f>
        <v>1589.5</v>
      </c>
      <c r="H46" s="76">
        <v>89.5</v>
      </c>
      <c r="I46" s="148">
        <v>500</v>
      </c>
      <c r="J46" s="76">
        <v>500</v>
      </c>
      <c r="K46" s="76">
        <v>500</v>
      </c>
      <c r="L46" s="18"/>
      <c r="M46" s="286"/>
      <c r="N46" s="286"/>
    </row>
    <row r="47" spans="1:14" ht="45" customHeight="1" x14ac:dyDescent="0.2">
      <c r="A47" s="318"/>
      <c r="B47" s="180"/>
      <c r="C47" s="180"/>
      <c r="D47" s="17" t="s">
        <v>29</v>
      </c>
      <c r="E47" s="226"/>
      <c r="F47" s="18"/>
      <c r="G47" s="18"/>
      <c r="H47" s="76"/>
      <c r="I47" s="148"/>
      <c r="J47" s="76"/>
      <c r="K47" s="76"/>
      <c r="L47" s="18"/>
      <c r="M47" s="230"/>
      <c r="N47" s="230"/>
    </row>
    <row r="48" spans="1:14" ht="45" customHeight="1" x14ac:dyDescent="0.2">
      <c r="A48" s="316" t="s">
        <v>275</v>
      </c>
      <c r="B48" s="178" t="s">
        <v>276</v>
      </c>
      <c r="C48" s="178" t="s">
        <v>264</v>
      </c>
      <c r="D48" s="17" t="s">
        <v>34</v>
      </c>
      <c r="E48" s="283" t="s">
        <v>19</v>
      </c>
      <c r="F48" s="18"/>
      <c r="G48" s="18">
        <f>G49+G50+G51</f>
        <v>0</v>
      </c>
      <c r="H48" s="76"/>
      <c r="I48" s="148"/>
      <c r="J48" s="76"/>
      <c r="K48" s="76"/>
      <c r="L48" s="18"/>
      <c r="M48" s="285" t="s">
        <v>265</v>
      </c>
      <c r="N48" s="285" t="s">
        <v>277</v>
      </c>
    </row>
    <row r="49" spans="1:14" ht="45" customHeight="1" x14ac:dyDescent="0.2">
      <c r="A49" s="317"/>
      <c r="B49" s="179"/>
      <c r="C49" s="179"/>
      <c r="D49" s="17" t="s">
        <v>27</v>
      </c>
      <c r="E49" s="284"/>
      <c r="F49" s="18"/>
      <c r="G49" s="18"/>
      <c r="H49" s="76"/>
      <c r="I49" s="148"/>
      <c r="J49" s="76"/>
      <c r="K49" s="76"/>
      <c r="L49" s="18"/>
      <c r="M49" s="286"/>
      <c r="N49" s="286"/>
    </row>
    <row r="50" spans="1:14" ht="45" customHeight="1" x14ac:dyDescent="0.2">
      <c r="A50" s="317"/>
      <c r="B50" s="179"/>
      <c r="C50" s="179"/>
      <c r="D50" s="17" t="s">
        <v>82</v>
      </c>
      <c r="E50" s="284"/>
      <c r="F50" s="18"/>
      <c r="G50" s="18">
        <f>H50+I50+J50+K50+L50</f>
        <v>0</v>
      </c>
      <c r="H50" s="76"/>
      <c r="I50" s="148"/>
      <c r="J50" s="76"/>
      <c r="K50" s="76"/>
      <c r="L50" s="18"/>
      <c r="M50" s="286"/>
      <c r="N50" s="286"/>
    </row>
    <row r="51" spans="1:14" ht="45" customHeight="1" x14ac:dyDescent="0.2">
      <c r="A51" s="318"/>
      <c r="B51" s="180"/>
      <c r="C51" s="180"/>
      <c r="D51" s="17" t="s">
        <v>29</v>
      </c>
      <c r="E51" s="226"/>
      <c r="F51" s="18"/>
      <c r="G51" s="18">
        <f>H51+I51+J51+K51+L51</f>
        <v>0</v>
      </c>
      <c r="H51" s="76"/>
      <c r="I51" s="148"/>
      <c r="J51" s="76"/>
      <c r="K51" s="76"/>
      <c r="L51" s="18"/>
      <c r="M51" s="230"/>
      <c r="N51" s="230"/>
    </row>
    <row r="52" spans="1:14" ht="55.5" customHeight="1" x14ac:dyDescent="0.2">
      <c r="A52" s="205" t="s">
        <v>42</v>
      </c>
      <c r="B52" s="206" t="s">
        <v>43</v>
      </c>
      <c r="C52" s="197" t="s">
        <v>23</v>
      </c>
      <c r="D52" s="17" t="s">
        <v>24</v>
      </c>
      <c r="E52" s="201" t="s">
        <v>25</v>
      </c>
      <c r="F52" s="22">
        <f>F53+F54+F55</f>
        <v>24772</v>
      </c>
      <c r="G52" s="22">
        <f t="shared" ref="G52:L52" si="6">G53+G54+G55</f>
        <v>120668</v>
      </c>
      <c r="H52" s="92">
        <f t="shared" si="6"/>
        <v>28739</v>
      </c>
      <c r="I52" s="151">
        <f t="shared" si="6"/>
        <v>30643</v>
      </c>
      <c r="J52" s="92">
        <f>J53+J54+J55</f>
        <v>30643</v>
      </c>
      <c r="K52" s="92">
        <f>K53+K54+K55</f>
        <v>30643</v>
      </c>
      <c r="L52" s="22">
        <f t="shared" si="6"/>
        <v>0</v>
      </c>
      <c r="M52" s="207" t="s">
        <v>26</v>
      </c>
      <c r="N52" s="207" t="s">
        <v>44</v>
      </c>
    </row>
    <row r="53" spans="1:14" ht="74.25" customHeight="1" x14ac:dyDescent="0.2">
      <c r="A53" s="205"/>
      <c r="B53" s="206"/>
      <c r="C53" s="197"/>
      <c r="D53" s="17" t="s">
        <v>27</v>
      </c>
      <c r="E53" s="201"/>
      <c r="F53" s="18">
        <f>F57+F61+F65</f>
        <v>24772</v>
      </c>
      <c r="G53" s="18">
        <f t="shared" ref="G53:L53" si="7">G57+G61+G65</f>
        <v>120668</v>
      </c>
      <c r="H53" s="76">
        <f t="shared" si="7"/>
        <v>28739</v>
      </c>
      <c r="I53" s="148">
        <f t="shared" si="7"/>
        <v>30643</v>
      </c>
      <c r="J53" s="76">
        <f t="shared" ref="J53:K55" si="8">J57+J61+J65</f>
        <v>30643</v>
      </c>
      <c r="K53" s="76">
        <f t="shared" si="8"/>
        <v>30643</v>
      </c>
      <c r="L53" s="18">
        <f t="shared" si="7"/>
        <v>0</v>
      </c>
      <c r="M53" s="207"/>
      <c r="N53" s="207"/>
    </row>
    <row r="54" spans="1:14" ht="51" customHeight="1" x14ac:dyDescent="0.2">
      <c r="A54" s="205"/>
      <c r="B54" s="206"/>
      <c r="C54" s="197"/>
      <c r="D54" s="17" t="s">
        <v>28</v>
      </c>
      <c r="E54" s="201"/>
      <c r="F54" s="18">
        <f>F58+F62+F66</f>
        <v>0</v>
      </c>
      <c r="G54" s="18">
        <f t="shared" ref="G54:L54" si="9">G58+G62+G66</f>
        <v>0</v>
      </c>
      <c r="H54" s="76">
        <f t="shared" si="9"/>
        <v>0</v>
      </c>
      <c r="I54" s="148">
        <f t="shared" si="9"/>
        <v>0</v>
      </c>
      <c r="J54" s="76">
        <f t="shared" si="8"/>
        <v>0</v>
      </c>
      <c r="K54" s="76">
        <f t="shared" si="8"/>
        <v>0</v>
      </c>
      <c r="L54" s="18">
        <f t="shared" si="9"/>
        <v>0</v>
      </c>
      <c r="M54" s="207"/>
      <c r="N54" s="207"/>
    </row>
    <row r="55" spans="1:14" ht="100.5" customHeight="1" x14ac:dyDescent="0.2">
      <c r="A55" s="205"/>
      <c r="B55" s="206"/>
      <c r="C55" s="197"/>
      <c r="D55" s="17" t="s">
        <v>29</v>
      </c>
      <c r="E55" s="201"/>
      <c r="F55" s="18">
        <f>F59+F63+F67</f>
        <v>0</v>
      </c>
      <c r="G55" s="18">
        <f t="shared" ref="G55:L55" si="10">G59+G63+G67</f>
        <v>0</v>
      </c>
      <c r="H55" s="76">
        <f t="shared" si="10"/>
        <v>0</v>
      </c>
      <c r="I55" s="148">
        <f t="shared" si="10"/>
        <v>0</v>
      </c>
      <c r="J55" s="76">
        <f t="shared" si="8"/>
        <v>0</v>
      </c>
      <c r="K55" s="76">
        <f t="shared" si="8"/>
        <v>0</v>
      </c>
      <c r="L55" s="18">
        <f t="shared" si="10"/>
        <v>0</v>
      </c>
      <c r="M55" s="207"/>
      <c r="N55" s="207"/>
    </row>
    <row r="56" spans="1:14" ht="54" customHeight="1" x14ac:dyDescent="0.2">
      <c r="A56" s="203" t="s">
        <v>45</v>
      </c>
      <c r="B56" s="197" t="s">
        <v>337</v>
      </c>
      <c r="C56" s="197" t="s">
        <v>46</v>
      </c>
      <c r="D56" s="17" t="s">
        <v>24</v>
      </c>
      <c r="E56" s="201" t="s">
        <v>25</v>
      </c>
      <c r="F56" s="18">
        <f t="shared" ref="F56:L56" si="11">F57+F58+F59</f>
        <v>23200</v>
      </c>
      <c r="G56" s="18">
        <f t="shared" si="11"/>
        <v>112764</v>
      </c>
      <c r="H56" s="76">
        <f t="shared" si="11"/>
        <v>26883</v>
      </c>
      <c r="I56" s="148">
        <f t="shared" si="11"/>
        <v>28627</v>
      </c>
      <c r="J56" s="76">
        <f t="shared" si="11"/>
        <v>28627</v>
      </c>
      <c r="K56" s="76">
        <f t="shared" si="11"/>
        <v>28627</v>
      </c>
      <c r="L56" s="18">
        <f t="shared" si="11"/>
        <v>0</v>
      </c>
      <c r="M56" s="207" t="s">
        <v>26</v>
      </c>
      <c r="N56" s="207" t="s">
        <v>44</v>
      </c>
    </row>
    <row r="57" spans="1:14" ht="45.75" customHeight="1" x14ac:dyDescent="0.2">
      <c r="A57" s="203"/>
      <c r="B57" s="197"/>
      <c r="C57" s="197"/>
      <c r="D57" s="17" t="s">
        <v>27</v>
      </c>
      <c r="E57" s="201"/>
      <c r="F57" s="18">
        <v>23200</v>
      </c>
      <c r="G57" s="18">
        <f>H57+I57+J57+K57+L57</f>
        <v>112764</v>
      </c>
      <c r="H57" s="76">
        <f>29571-2688</f>
        <v>26883</v>
      </c>
      <c r="I57" s="148">
        <v>28627</v>
      </c>
      <c r="J57" s="76">
        <v>28627</v>
      </c>
      <c r="K57" s="76">
        <v>28627</v>
      </c>
      <c r="L57" s="18">
        <f>L58+L59+L60</f>
        <v>0</v>
      </c>
      <c r="M57" s="207"/>
      <c r="N57" s="207"/>
    </row>
    <row r="58" spans="1:14" ht="46.5" x14ac:dyDescent="0.2">
      <c r="A58" s="203"/>
      <c r="B58" s="197"/>
      <c r="C58" s="197"/>
      <c r="D58" s="17" t="s">
        <v>28</v>
      </c>
      <c r="E58" s="201"/>
      <c r="F58" s="18"/>
      <c r="G58" s="18"/>
      <c r="H58" s="76"/>
      <c r="I58" s="148"/>
      <c r="J58" s="76"/>
      <c r="K58" s="76"/>
      <c r="L58" s="18"/>
      <c r="M58" s="207"/>
      <c r="N58" s="207"/>
    </row>
    <row r="59" spans="1:14" ht="138" customHeight="1" x14ac:dyDescent="0.2">
      <c r="A59" s="203"/>
      <c r="B59" s="197"/>
      <c r="C59" s="197"/>
      <c r="D59" s="17" t="s">
        <v>29</v>
      </c>
      <c r="E59" s="201"/>
      <c r="F59" s="18"/>
      <c r="G59" s="18"/>
      <c r="H59" s="76"/>
      <c r="I59" s="148"/>
      <c r="J59" s="76"/>
      <c r="K59" s="76"/>
      <c r="L59" s="18"/>
      <c r="M59" s="207"/>
      <c r="N59" s="207"/>
    </row>
    <row r="60" spans="1:14" ht="40.5" customHeight="1" x14ac:dyDescent="0.2">
      <c r="A60" s="203" t="s">
        <v>47</v>
      </c>
      <c r="B60" s="197" t="s">
        <v>48</v>
      </c>
      <c r="C60" s="197" t="s">
        <v>49</v>
      </c>
      <c r="D60" s="17" t="s">
        <v>34</v>
      </c>
      <c r="E60" s="201" t="s">
        <v>25</v>
      </c>
      <c r="F60" s="23">
        <f>F61+F62+F63</f>
        <v>1108</v>
      </c>
      <c r="G60" s="23">
        <f>H60+I60+J60+K60+L60</f>
        <v>5647</v>
      </c>
      <c r="H60" s="93">
        <f>H61+H62+H63</f>
        <v>1318</v>
      </c>
      <c r="I60" s="152">
        <f>I61+I62+I63</f>
        <v>1443</v>
      </c>
      <c r="J60" s="93">
        <f>J61+J62+J63</f>
        <v>1443</v>
      </c>
      <c r="K60" s="93">
        <f>K61+K62+K63</f>
        <v>1443</v>
      </c>
      <c r="L60" s="23"/>
      <c r="M60" s="207" t="s">
        <v>26</v>
      </c>
      <c r="N60" s="207" t="s">
        <v>50</v>
      </c>
    </row>
    <row r="61" spans="1:14" ht="47.25" customHeight="1" x14ac:dyDescent="0.2">
      <c r="A61" s="203"/>
      <c r="B61" s="197"/>
      <c r="C61" s="197"/>
      <c r="D61" s="17" t="s">
        <v>27</v>
      </c>
      <c r="E61" s="201"/>
      <c r="F61" s="23">
        <v>1108</v>
      </c>
      <c r="G61" s="23">
        <f>H61+I61+J61+K61+L61</f>
        <v>5647</v>
      </c>
      <c r="H61" s="93">
        <v>1318</v>
      </c>
      <c r="I61" s="152">
        <v>1443</v>
      </c>
      <c r="J61" s="93">
        <v>1443</v>
      </c>
      <c r="K61" s="93">
        <v>1443</v>
      </c>
      <c r="L61" s="23"/>
      <c r="M61" s="207"/>
      <c r="N61" s="207"/>
    </row>
    <row r="62" spans="1:14" ht="46.5" x14ac:dyDescent="0.2">
      <c r="A62" s="203"/>
      <c r="B62" s="197"/>
      <c r="C62" s="197"/>
      <c r="D62" s="17" t="s">
        <v>28</v>
      </c>
      <c r="E62" s="201"/>
      <c r="F62" s="23"/>
      <c r="G62" s="23"/>
      <c r="H62" s="93"/>
      <c r="I62" s="152"/>
      <c r="J62" s="93"/>
      <c r="K62" s="93"/>
      <c r="L62" s="23"/>
      <c r="M62" s="207"/>
      <c r="N62" s="207"/>
    </row>
    <row r="63" spans="1:14" ht="81" customHeight="1" x14ac:dyDescent="0.2">
      <c r="A63" s="203"/>
      <c r="B63" s="197"/>
      <c r="C63" s="197"/>
      <c r="D63" s="17" t="s">
        <v>29</v>
      </c>
      <c r="E63" s="201"/>
      <c r="F63" s="23"/>
      <c r="G63" s="23"/>
      <c r="H63" s="93"/>
      <c r="I63" s="152"/>
      <c r="J63" s="93"/>
      <c r="K63" s="93"/>
      <c r="L63" s="23"/>
      <c r="M63" s="207"/>
      <c r="N63" s="207"/>
    </row>
    <row r="64" spans="1:14" ht="48.75" customHeight="1" x14ac:dyDescent="0.2">
      <c r="A64" s="229" t="s">
        <v>51</v>
      </c>
      <c r="B64" s="197" t="s">
        <v>52</v>
      </c>
      <c r="C64" s="197" t="s">
        <v>49</v>
      </c>
      <c r="D64" s="17" t="s">
        <v>34</v>
      </c>
      <c r="E64" s="201" t="s">
        <v>25</v>
      </c>
      <c r="F64" s="23">
        <f>F65+F66+F67</f>
        <v>464</v>
      </c>
      <c r="G64" s="23">
        <f>H64+I64+J64+K64+L64</f>
        <v>2257</v>
      </c>
      <c r="H64" s="93">
        <f>H65+H66+H67</f>
        <v>538</v>
      </c>
      <c r="I64" s="152">
        <f>I65+I66+I67</f>
        <v>573</v>
      </c>
      <c r="J64" s="93">
        <f>J65+J66+J67</f>
        <v>573</v>
      </c>
      <c r="K64" s="93">
        <f>K65+K66+K67</f>
        <v>573</v>
      </c>
      <c r="L64" s="23"/>
      <c r="M64" s="207" t="s">
        <v>26</v>
      </c>
      <c r="N64" s="207" t="s">
        <v>53</v>
      </c>
    </row>
    <row r="65" spans="1:14" ht="67.5" customHeight="1" x14ac:dyDescent="0.2">
      <c r="A65" s="229"/>
      <c r="B65" s="197"/>
      <c r="C65" s="197"/>
      <c r="D65" s="17" t="s">
        <v>27</v>
      </c>
      <c r="E65" s="201"/>
      <c r="F65" s="23">
        <v>464</v>
      </c>
      <c r="G65" s="23">
        <f>H65+I65+J65+K65+L65</f>
        <v>2257</v>
      </c>
      <c r="H65" s="93">
        <f>592-54</f>
        <v>538</v>
      </c>
      <c r="I65" s="152">
        <v>573</v>
      </c>
      <c r="J65" s="93">
        <v>573</v>
      </c>
      <c r="K65" s="93">
        <v>573</v>
      </c>
      <c r="L65" s="23"/>
      <c r="M65" s="207"/>
      <c r="N65" s="207"/>
    </row>
    <row r="66" spans="1:14" ht="53.25" customHeight="1" x14ac:dyDescent="0.2">
      <c r="A66" s="229"/>
      <c r="B66" s="197"/>
      <c r="C66" s="197"/>
      <c r="D66" s="17" t="s">
        <v>28</v>
      </c>
      <c r="E66" s="201"/>
      <c r="F66" s="23"/>
      <c r="G66" s="23"/>
      <c r="H66" s="93"/>
      <c r="I66" s="152"/>
      <c r="J66" s="93"/>
      <c r="K66" s="93"/>
      <c r="L66" s="23"/>
      <c r="M66" s="207"/>
      <c r="N66" s="207"/>
    </row>
    <row r="67" spans="1:14" ht="49.5" customHeight="1" x14ac:dyDescent="0.2">
      <c r="A67" s="229"/>
      <c r="B67" s="197"/>
      <c r="C67" s="197"/>
      <c r="D67" s="17" t="s">
        <v>29</v>
      </c>
      <c r="E67" s="201"/>
      <c r="F67" s="23"/>
      <c r="G67" s="23"/>
      <c r="H67" s="93"/>
      <c r="I67" s="152"/>
      <c r="J67" s="93"/>
      <c r="K67" s="93"/>
      <c r="L67" s="23"/>
      <c r="M67" s="207"/>
      <c r="N67" s="207"/>
    </row>
    <row r="68" spans="1:14" ht="77.25" customHeight="1" x14ac:dyDescent="0.2">
      <c r="A68" s="201">
        <v>3</v>
      </c>
      <c r="B68" s="206" t="s">
        <v>0</v>
      </c>
      <c r="C68" s="197" t="s">
        <v>54</v>
      </c>
      <c r="D68" s="17" t="s">
        <v>34</v>
      </c>
      <c r="E68" s="201" t="s">
        <v>55</v>
      </c>
      <c r="F68" s="24">
        <f>F69+F70+F71</f>
        <v>422797.8</v>
      </c>
      <c r="G68" s="24">
        <f t="shared" ref="G68:L68" si="12">G69+G70+G71</f>
        <v>2586116.3489999999</v>
      </c>
      <c r="H68" s="94">
        <f>H69+H70+H71</f>
        <v>582115.91999999993</v>
      </c>
      <c r="I68" s="153">
        <f t="shared" si="12"/>
        <v>602302.00900000008</v>
      </c>
      <c r="J68" s="94">
        <f>J69+J70+J71</f>
        <v>592113.30000000005</v>
      </c>
      <c r="K68" s="94">
        <f>K69+K70+K71</f>
        <v>592113.30000000005</v>
      </c>
      <c r="L68" s="24">
        <f t="shared" si="12"/>
        <v>227824.5</v>
      </c>
      <c r="M68" s="207" t="s">
        <v>26</v>
      </c>
      <c r="N68" s="207" t="s">
        <v>56</v>
      </c>
    </row>
    <row r="69" spans="1:14" ht="69.75" customHeight="1" x14ac:dyDescent="0.2">
      <c r="A69" s="201"/>
      <c r="B69" s="206"/>
      <c r="C69" s="197"/>
      <c r="D69" s="17" t="s">
        <v>27</v>
      </c>
      <c r="E69" s="201"/>
      <c r="F69" s="18">
        <f>F73+F85+F97+F101+F105</f>
        <v>305934.3</v>
      </c>
      <c r="G69" s="18">
        <f>H69+I69+J69+K69+L69</f>
        <v>1511629</v>
      </c>
      <c r="H69" s="76">
        <f>H73+H85+H97+H101+H105+H109+H113+H117</f>
        <v>358687</v>
      </c>
      <c r="I69" s="148">
        <f>I73+I85+I97+I101+I105+I137</f>
        <v>386314</v>
      </c>
      <c r="J69" s="76">
        <f>J73+J85+J97+J101+J105</f>
        <v>383314</v>
      </c>
      <c r="K69" s="76">
        <f>K73+K85+K97+K101+K105</f>
        <v>383314</v>
      </c>
      <c r="L69" s="18">
        <f>L73+L85+L97+L101+L105</f>
        <v>0</v>
      </c>
      <c r="M69" s="207"/>
      <c r="N69" s="207"/>
    </row>
    <row r="70" spans="1:14" ht="48" customHeight="1" x14ac:dyDescent="0.2">
      <c r="A70" s="201"/>
      <c r="B70" s="206"/>
      <c r="C70" s="197"/>
      <c r="D70" s="17" t="s">
        <v>28</v>
      </c>
      <c r="E70" s="201"/>
      <c r="F70" s="18">
        <f t="shared" ref="F70:L70" si="13">F74+F86+F98+F102+F106+F110+F114+F118+F122</f>
        <v>116863.5</v>
      </c>
      <c r="G70" s="18">
        <f t="shared" si="13"/>
        <v>1074487.3489999999</v>
      </c>
      <c r="H70" s="76">
        <f>H74+H86+H98+H102+H106+H110+H114+H118+H122+H126+H130</f>
        <v>223428.91999999998</v>
      </c>
      <c r="I70" s="148">
        <f>I74+I86+I98+I102+I106+I110+I114+I118+I122+I126+I130+I134+I142+I146</f>
        <v>215988.00900000002</v>
      </c>
      <c r="J70" s="76">
        <f t="shared" si="13"/>
        <v>208799.3</v>
      </c>
      <c r="K70" s="76">
        <f t="shared" si="13"/>
        <v>208799.3</v>
      </c>
      <c r="L70" s="18">
        <f t="shared" si="13"/>
        <v>227824.5</v>
      </c>
      <c r="M70" s="207"/>
      <c r="N70" s="207"/>
    </row>
    <row r="71" spans="1:14" ht="171" customHeight="1" x14ac:dyDescent="0.2">
      <c r="A71" s="201"/>
      <c r="B71" s="206"/>
      <c r="C71" s="197"/>
      <c r="D71" s="17" t="s">
        <v>29</v>
      </c>
      <c r="E71" s="201"/>
      <c r="F71" s="18">
        <f t="shared" ref="F71:L71" si="14">F75+F79+F87+F99+F103</f>
        <v>0</v>
      </c>
      <c r="G71" s="18">
        <f t="shared" si="14"/>
        <v>0</v>
      </c>
      <c r="H71" s="76">
        <f t="shared" si="14"/>
        <v>0</v>
      </c>
      <c r="I71" s="148">
        <f t="shared" si="14"/>
        <v>0</v>
      </c>
      <c r="J71" s="76">
        <f>J75+J79+J87+J99+J103</f>
        <v>0</v>
      </c>
      <c r="K71" s="76">
        <f>K75+K79+K87+K99+K103</f>
        <v>0</v>
      </c>
      <c r="L71" s="18">
        <f t="shared" si="14"/>
        <v>0</v>
      </c>
      <c r="M71" s="207"/>
      <c r="N71" s="207"/>
    </row>
    <row r="72" spans="1:14" ht="31.5" customHeight="1" x14ac:dyDescent="0.2">
      <c r="A72" s="203" t="s">
        <v>57</v>
      </c>
      <c r="B72" s="197" t="s">
        <v>58</v>
      </c>
      <c r="C72" s="197" t="s">
        <v>59</v>
      </c>
      <c r="D72" s="17" t="s">
        <v>34</v>
      </c>
      <c r="E72" s="201" t="s">
        <v>55</v>
      </c>
      <c r="F72" s="18">
        <f>F73+F74+F75</f>
        <v>348351.3</v>
      </c>
      <c r="G72" s="18">
        <f t="shared" ref="G72:L72" si="15">G73+G74+G75</f>
        <v>2020554.9029999999</v>
      </c>
      <c r="H72" s="76">
        <f t="shared" si="15"/>
        <v>471820.70299999998</v>
      </c>
      <c r="I72" s="148">
        <f t="shared" si="15"/>
        <v>474698.2</v>
      </c>
      <c r="J72" s="76">
        <f>J73+J74+J75</f>
        <v>474793.5</v>
      </c>
      <c r="K72" s="76">
        <f>K73+K74+K75</f>
        <v>474793.5</v>
      </c>
      <c r="L72" s="18">
        <f t="shared" si="15"/>
        <v>124449</v>
      </c>
      <c r="M72" s="207" t="s">
        <v>26</v>
      </c>
      <c r="N72" s="197" t="s">
        <v>60</v>
      </c>
    </row>
    <row r="73" spans="1:14" ht="48.75" customHeight="1" x14ac:dyDescent="0.2">
      <c r="A73" s="203"/>
      <c r="B73" s="197"/>
      <c r="C73" s="197"/>
      <c r="D73" s="17" t="s">
        <v>27</v>
      </c>
      <c r="E73" s="201"/>
      <c r="F73" s="18">
        <f>F77+F81</f>
        <v>302434.3</v>
      </c>
      <c r="G73" s="18">
        <f>H73+I73+J73+K73+L73</f>
        <v>1504146</v>
      </c>
      <c r="H73" s="76">
        <f>H77+H81</f>
        <v>354204</v>
      </c>
      <c r="I73" s="148">
        <f>I77+I81</f>
        <v>383314</v>
      </c>
      <c r="J73" s="76">
        <f>J77+J81</f>
        <v>383314</v>
      </c>
      <c r="K73" s="76">
        <f>K77+K81</f>
        <v>383314</v>
      </c>
      <c r="L73" s="18">
        <f>L77+L81</f>
        <v>0</v>
      </c>
      <c r="M73" s="207"/>
      <c r="N73" s="197"/>
    </row>
    <row r="74" spans="1:14" ht="50.25" customHeight="1" x14ac:dyDescent="0.2">
      <c r="A74" s="203"/>
      <c r="B74" s="197"/>
      <c r="C74" s="197"/>
      <c r="D74" s="17" t="s">
        <v>28</v>
      </c>
      <c r="E74" s="201"/>
      <c r="F74" s="18">
        <f>F78+F82</f>
        <v>45917</v>
      </c>
      <c r="G74" s="18">
        <f>H74+I74+J74+K74+L74</f>
        <v>516408.90299999999</v>
      </c>
      <c r="H74" s="76">
        <f>H78+H82</f>
        <v>117616.70299999999</v>
      </c>
      <c r="I74" s="148">
        <f>I78</f>
        <v>91384.200000000012</v>
      </c>
      <c r="J74" s="76">
        <f>J78</f>
        <v>91479.5</v>
      </c>
      <c r="K74" s="76">
        <f>K78</f>
        <v>91479.5</v>
      </c>
      <c r="L74" s="18">
        <f>L78+L82</f>
        <v>124449</v>
      </c>
      <c r="M74" s="207"/>
      <c r="N74" s="197"/>
    </row>
    <row r="75" spans="1:14" ht="193.5" customHeight="1" x14ac:dyDescent="0.2">
      <c r="A75" s="203"/>
      <c r="B75" s="197"/>
      <c r="C75" s="197"/>
      <c r="D75" s="17" t="s">
        <v>29</v>
      </c>
      <c r="E75" s="201"/>
      <c r="F75" s="25"/>
      <c r="G75" s="25"/>
      <c r="H75" s="76"/>
      <c r="I75" s="154"/>
      <c r="J75" s="77"/>
      <c r="K75" s="77"/>
      <c r="L75" s="25"/>
      <c r="M75" s="207"/>
      <c r="N75" s="197"/>
    </row>
    <row r="76" spans="1:14" ht="55.5" customHeight="1" x14ac:dyDescent="0.2">
      <c r="A76" s="203" t="s">
        <v>61</v>
      </c>
      <c r="B76" s="197" t="s">
        <v>62</v>
      </c>
      <c r="C76" s="197" t="s">
        <v>63</v>
      </c>
      <c r="D76" s="17" t="s">
        <v>34</v>
      </c>
      <c r="E76" s="201" t="s">
        <v>55</v>
      </c>
      <c r="F76" s="18">
        <f>F77+F78+F79</f>
        <v>342189.3</v>
      </c>
      <c r="G76" s="85">
        <f t="shared" ref="G76:L76" si="16">G77+G78+G79</f>
        <v>1990868.9029999999</v>
      </c>
      <c r="H76" s="76">
        <f t="shared" si="16"/>
        <v>464925.70299999998</v>
      </c>
      <c r="I76" s="155">
        <f t="shared" si="16"/>
        <v>467101.2</v>
      </c>
      <c r="J76" s="83">
        <f>J77+J78+J79</f>
        <v>467196.5</v>
      </c>
      <c r="K76" s="83">
        <f>K77+K78+K79</f>
        <v>467196.5</v>
      </c>
      <c r="L76" s="89">
        <f t="shared" si="16"/>
        <v>124449</v>
      </c>
      <c r="M76" s="201" t="s">
        <v>26</v>
      </c>
      <c r="N76" s="197" t="s">
        <v>64</v>
      </c>
    </row>
    <row r="77" spans="1:14" ht="67.5" customHeight="1" x14ac:dyDescent="0.2">
      <c r="A77" s="203"/>
      <c r="B77" s="197"/>
      <c r="C77" s="197"/>
      <c r="D77" s="17" t="s">
        <v>27</v>
      </c>
      <c r="E77" s="201"/>
      <c r="F77" s="87">
        <v>296272.3</v>
      </c>
      <c r="G77" s="88">
        <f>H77+I77+J77+K77+L77</f>
        <v>1474460</v>
      </c>
      <c r="H77" s="76">
        <f>340426+6883</f>
        <v>347309</v>
      </c>
      <c r="I77" s="155">
        <v>375717</v>
      </c>
      <c r="J77" s="83">
        <v>375717</v>
      </c>
      <c r="K77" s="83">
        <v>375717</v>
      </c>
      <c r="L77" s="89"/>
      <c r="M77" s="201"/>
      <c r="N77" s="197"/>
    </row>
    <row r="78" spans="1:14" ht="61.5" customHeight="1" x14ac:dyDescent="0.2">
      <c r="A78" s="203"/>
      <c r="B78" s="197"/>
      <c r="C78" s="197"/>
      <c r="D78" s="17" t="s">
        <v>28</v>
      </c>
      <c r="E78" s="201"/>
      <c r="F78" s="25">
        <v>45917</v>
      </c>
      <c r="G78" s="86">
        <f>H78+I78+J78+K78+L78</f>
        <v>516408.90299999999</v>
      </c>
      <c r="H78" s="76">
        <v>117616.70299999999</v>
      </c>
      <c r="I78" s="155">
        <f>28239.7+63239.8+221+66-355.9-26.4</f>
        <v>91384.200000000012</v>
      </c>
      <c r="J78" s="83">
        <f>28239.7+63239.8</f>
        <v>91479.5</v>
      </c>
      <c r="K78" s="83">
        <f>28239.7+63239.8</f>
        <v>91479.5</v>
      </c>
      <c r="L78" s="89">
        <v>124449</v>
      </c>
      <c r="M78" s="201"/>
      <c r="N78" s="197"/>
    </row>
    <row r="79" spans="1:14" ht="28.5" customHeight="1" x14ac:dyDescent="0.2">
      <c r="A79" s="203"/>
      <c r="B79" s="197"/>
      <c r="C79" s="197"/>
      <c r="D79" s="17" t="s">
        <v>29</v>
      </c>
      <c r="E79" s="201"/>
      <c r="F79" s="25"/>
      <c r="G79" s="77"/>
      <c r="H79" s="76"/>
      <c r="I79" s="154"/>
      <c r="J79" s="77"/>
      <c r="K79" s="77"/>
      <c r="L79" s="25"/>
      <c r="M79" s="201"/>
      <c r="N79" s="197"/>
    </row>
    <row r="80" spans="1:14" ht="28.5" customHeight="1" x14ac:dyDescent="0.2">
      <c r="A80" s="229" t="s">
        <v>65</v>
      </c>
      <c r="B80" s="197" t="s">
        <v>66</v>
      </c>
      <c r="C80" s="197" t="s">
        <v>63</v>
      </c>
      <c r="D80" s="17" t="s">
        <v>34</v>
      </c>
      <c r="E80" s="201" t="s">
        <v>25</v>
      </c>
      <c r="F80" s="25"/>
      <c r="G80" s="77">
        <f>H80+I80+J80+K80+L80</f>
        <v>29686</v>
      </c>
      <c r="H80" s="76">
        <f>H81+H82+H83</f>
        <v>6895</v>
      </c>
      <c r="I80" s="154">
        <f>I81+I82+I83</f>
        <v>7597</v>
      </c>
      <c r="J80" s="77">
        <f>J81+J82+J83</f>
        <v>7597</v>
      </c>
      <c r="K80" s="77">
        <f>K81+K82+K83</f>
        <v>7597</v>
      </c>
      <c r="L80" s="25">
        <f>L81+L82+L83</f>
        <v>0</v>
      </c>
      <c r="M80" s="201" t="s">
        <v>26</v>
      </c>
      <c r="N80" s="201" t="s">
        <v>217</v>
      </c>
    </row>
    <row r="81" spans="1:14" ht="67.5" customHeight="1" x14ac:dyDescent="0.2">
      <c r="A81" s="229"/>
      <c r="B81" s="197"/>
      <c r="C81" s="197"/>
      <c r="D81" s="17" t="s">
        <v>27</v>
      </c>
      <c r="E81" s="201"/>
      <c r="F81" s="25">
        <f>6162</f>
        <v>6162</v>
      </c>
      <c r="G81" s="77">
        <f>H81+I81+J81+K81+L81</f>
        <v>29686</v>
      </c>
      <c r="H81" s="76">
        <v>6895</v>
      </c>
      <c r="I81" s="154">
        <v>7597</v>
      </c>
      <c r="J81" s="77">
        <v>7597</v>
      </c>
      <c r="K81" s="77">
        <v>7597</v>
      </c>
      <c r="L81" s="25"/>
      <c r="M81" s="201"/>
      <c r="N81" s="201"/>
    </row>
    <row r="82" spans="1:14" ht="50.25" customHeight="1" x14ac:dyDescent="0.2">
      <c r="A82" s="229"/>
      <c r="B82" s="197"/>
      <c r="C82" s="197"/>
      <c r="D82" s="17" t="s">
        <v>28</v>
      </c>
      <c r="E82" s="201"/>
      <c r="F82" s="25"/>
      <c r="G82" s="25">
        <f>H82+I82+J82+K82+L82</f>
        <v>0</v>
      </c>
      <c r="H82" s="76">
        <v>0</v>
      </c>
      <c r="I82" s="154">
        <v>0</v>
      </c>
      <c r="J82" s="77">
        <v>0</v>
      </c>
      <c r="K82" s="77">
        <v>0</v>
      </c>
      <c r="L82" s="25">
        <v>0</v>
      </c>
      <c r="M82" s="201"/>
      <c r="N82" s="201"/>
    </row>
    <row r="83" spans="1:14" ht="57.75" customHeight="1" x14ac:dyDescent="0.2">
      <c r="A83" s="229"/>
      <c r="B83" s="197"/>
      <c r="C83" s="197"/>
      <c r="D83" s="17" t="s">
        <v>29</v>
      </c>
      <c r="E83" s="201"/>
      <c r="F83" s="25"/>
      <c r="G83" s="25"/>
      <c r="H83" s="76"/>
      <c r="I83" s="154"/>
      <c r="J83" s="77"/>
      <c r="K83" s="77"/>
      <c r="L83" s="25"/>
      <c r="M83" s="201"/>
      <c r="N83" s="201"/>
    </row>
    <row r="84" spans="1:14" ht="36.75" customHeight="1" x14ac:dyDescent="0.2">
      <c r="A84" s="203" t="s">
        <v>67</v>
      </c>
      <c r="B84" s="197" t="s">
        <v>68</v>
      </c>
      <c r="C84" s="197" t="s">
        <v>69</v>
      </c>
      <c r="D84" s="17" t="s">
        <v>34</v>
      </c>
      <c r="E84" s="201" t="s">
        <v>55</v>
      </c>
      <c r="F84" s="18">
        <f>F85+F86+F87</f>
        <v>70724.100000000006</v>
      </c>
      <c r="G84" s="18">
        <f t="shared" ref="G84:L84" si="17">G85+G86+G87</f>
        <v>527396.40099999995</v>
      </c>
      <c r="H84" s="76">
        <f t="shared" si="17"/>
        <v>99373.24</v>
      </c>
      <c r="I84" s="148">
        <f t="shared" si="17"/>
        <v>109374.46100000001</v>
      </c>
      <c r="J84" s="76">
        <f>J85+J86+J87</f>
        <v>111156.6</v>
      </c>
      <c r="K84" s="76">
        <f>K85+K86+K87</f>
        <v>111156.6</v>
      </c>
      <c r="L84" s="18">
        <f t="shared" si="17"/>
        <v>96335.5</v>
      </c>
      <c r="M84" s="201" t="s">
        <v>26</v>
      </c>
      <c r="N84" s="201" t="s">
        <v>218</v>
      </c>
    </row>
    <row r="85" spans="1:14" ht="44.25" customHeight="1" x14ac:dyDescent="0.2">
      <c r="A85" s="203"/>
      <c r="B85" s="197"/>
      <c r="C85" s="197"/>
      <c r="D85" s="17" t="s">
        <v>27</v>
      </c>
      <c r="E85" s="201"/>
      <c r="F85" s="25"/>
      <c r="G85" s="77"/>
      <c r="H85" s="76">
        <f>H89+H93</f>
        <v>0</v>
      </c>
      <c r="I85" s="154"/>
      <c r="J85" s="77"/>
      <c r="K85" s="77"/>
      <c r="L85" s="25"/>
      <c r="M85" s="201"/>
      <c r="N85" s="201"/>
    </row>
    <row r="86" spans="1:14" ht="43.5" customHeight="1" x14ac:dyDescent="0.2">
      <c r="A86" s="203"/>
      <c r="B86" s="197"/>
      <c r="C86" s="197"/>
      <c r="D86" s="17" t="s">
        <v>28</v>
      </c>
      <c r="E86" s="201"/>
      <c r="F86" s="25">
        <f>F90+F94</f>
        <v>70724.100000000006</v>
      </c>
      <c r="G86" s="77">
        <f>H86+I86+J86+K86+L86</f>
        <v>527396.40099999995</v>
      </c>
      <c r="H86" s="76">
        <f>H90+H94</f>
        <v>99373.24</v>
      </c>
      <c r="I86" s="154">
        <f>I90+I94</f>
        <v>109374.46100000001</v>
      </c>
      <c r="J86" s="77">
        <f>J90+J94</f>
        <v>111156.6</v>
      </c>
      <c r="K86" s="77">
        <f>K90+K94</f>
        <v>111156.6</v>
      </c>
      <c r="L86" s="25">
        <f>L90+L94</f>
        <v>96335.5</v>
      </c>
      <c r="M86" s="201"/>
      <c r="N86" s="201"/>
    </row>
    <row r="87" spans="1:14" ht="34.5" customHeight="1" x14ac:dyDescent="0.2">
      <c r="A87" s="203"/>
      <c r="B87" s="197"/>
      <c r="C87" s="197"/>
      <c r="D87" s="17" t="s">
        <v>29</v>
      </c>
      <c r="E87" s="201"/>
      <c r="F87" s="25"/>
      <c r="G87" s="77"/>
      <c r="H87" s="76">
        <f>H91+H95</f>
        <v>0</v>
      </c>
      <c r="I87" s="154"/>
      <c r="J87" s="77"/>
      <c r="K87" s="77"/>
      <c r="L87" s="25"/>
      <c r="M87" s="201"/>
      <c r="N87" s="201"/>
    </row>
    <row r="88" spans="1:14" ht="27" customHeight="1" x14ac:dyDescent="0.2">
      <c r="A88" s="203" t="s">
        <v>70</v>
      </c>
      <c r="B88" s="197" t="s">
        <v>71</v>
      </c>
      <c r="C88" s="197" t="s">
        <v>69</v>
      </c>
      <c r="D88" s="17" t="s">
        <v>34</v>
      </c>
      <c r="E88" s="201" t="s">
        <v>55</v>
      </c>
      <c r="F88" s="25">
        <f>F89+F90+F91</f>
        <v>31603.5</v>
      </c>
      <c r="G88" s="77">
        <f>H88+I88+J88+K88+L88</f>
        <v>159584.217</v>
      </c>
      <c r="H88" s="76">
        <f>H89+H90+H91</f>
        <v>34746.917000000001</v>
      </c>
      <c r="I88" s="154">
        <f>I89+I90+I91</f>
        <v>28963.1</v>
      </c>
      <c r="J88" s="77">
        <f>J89+J90+J91</f>
        <v>29161.1</v>
      </c>
      <c r="K88" s="77">
        <f>K89+K90+K91</f>
        <v>29161.1</v>
      </c>
      <c r="L88" s="25">
        <f>L89+L90+L91</f>
        <v>37552</v>
      </c>
      <c r="M88" s="230" t="s">
        <v>26</v>
      </c>
      <c r="N88" s="201" t="s">
        <v>218</v>
      </c>
    </row>
    <row r="89" spans="1:14" ht="69.75" customHeight="1" x14ac:dyDescent="0.2">
      <c r="A89" s="203"/>
      <c r="B89" s="197"/>
      <c r="C89" s="197"/>
      <c r="D89" s="17" t="s">
        <v>27</v>
      </c>
      <c r="E89" s="201"/>
      <c r="F89" s="25"/>
      <c r="G89" s="77"/>
      <c r="H89" s="76"/>
      <c r="I89" s="154"/>
      <c r="J89" s="77"/>
      <c r="K89" s="77"/>
      <c r="L89" s="25"/>
      <c r="M89" s="230"/>
      <c r="N89" s="201"/>
    </row>
    <row r="90" spans="1:14" ht="45" customHeight="1" x14ac:dyDescent="0.2">
      <c r="A90" s="203"/>
      <c r="B90" s="197"/>
      <c r="C90" s="197"/>
      <c r="D90" s="17" t="s">
        <v>28</v>
      </c>
      <c r="E90" s="201"/>
      <c r="F90" s="25">
        <f>28743.4+2860.1</f>
        <v>31603.5</v>
      </c>
      <c r="G90" s="77">
        <f>H90+I90+J90+K90+L90</f>
        <v>159584.217</v>
      </c>
      <c r="H90" s="76">
        <v>34746.917000000001</v>
      </c>
      <c r="I90" s="156">
        <f>29161.1+12-210</f>
        <v>28963.1</v>
      </c>
      <c r="J90" s="77">
        <v>29161.1</v>
      </c>
      <c r="K90" s="77">
        <v>29161.1</v>
      </c>
      <c r="L90" s="25">
        <v>37552</v>
      </c>
      <c r="M90" s="230"/>
      <c r="N90" s="201"/>
    </row>
    <row r="91" spans="1:14" ht="49.5" customHeight="1" x14ac:dyDescent="0.2">
      <c r="A91" s="203"/>
      <c r="B91" s="197"/>
      <c r="C91" s="197"/>
      <c r="D91" s="17" t="s">
        <v>29</v>
      </c>
      <c r="E91" s="201"/>
      <c r="F91" s="25"/>
      <c r="G91" s="77"/>
      <c r="H91" s="76"/>
      <c r="I91" s="154"/>
      <c r="J91" s="77"/>
      <c r="K91" s="77"/>
      <c r="L91" s="25"/>
      <c r="M91" s="230"/>
      <c r="N91" s="201"/>
    </row>
    <row r="92" spans="1:14" ht="36" customHeight="1" x14ac:dyDescent="0.2">
      <c r="A92" s="203" t="s">
        <v>72</v>
      </c>
      <c r="B92" s="197" t="s">
        <v>73</v>
      </c>
      <c r="C92" s="197" t="s">
        <v>69</v>
      </c>
      <c r="D92" s="17" t="s">
        <v>34</v>
      </c>
      <c r="E92" s="201" t="s">
        <v>55</v>
      </c>
      <c r="F92" s="25">
        <f>F93+F94+F95</f>
        <v>39120.6</v>
      </c>
      <c r="G92" s="77">
        <f>H92+I92+J92+K92+L92</f>
        <v>367812.18400000001</v>
      </c>
      <c r="H92" s="76">
        <f>H93+H94+H95</f>
        <v>64626.323000000004</v>
      </c>
      <c r="I92" s="154">
        <f>I93+I94+I95</f>
        <v>80411.361000000004</v>
      </c>
      <c r="J92" s="77">
        <f>J93+J94+J95</f>
        <v>81995.5</v>
      </c>
      <c r="K92" s="77">
        <f>K93+K94+K95</f>
        <v>81995.5</v>
      </c>
      <c r="L92" s="25">
        <f>L93+L94+L95</f>
        <v>58783.5</v>
      </c>
      <c r="M92" s="230" t="s">
        <v>26</v>
      </c>
      <c r="N92" s="201" t="s">
        <v>218</v>
      </c>
    </row>
    <row r="93" spans="1:14" ht="73.5" customHeight="1" x14ac:dyDescent="0.2">
      <c r="A93" s="203"/>
      <c r="B93" s="197"/>
      <c r="C93" s="197"/>
      <c r="D93" s="17" t="s">
        <v>27</v>
      </c>
      <c r="E93" s="201"/>
      <c r="F93" s="25"/>
      <c r="G93" s="77"/>
      <c r="H93" s="76"/>
      <c r="I93" s="154"/>
      <c r="J93" s="77"/>
      <c r="K93" s="77"/>
      <c r="L93" s="25"/>
      <c r="M93" s="230"/>
      <c r="N93" s="201"/>
    </row>
    <row r="94" spans="1:14" ht="45.75" customHeight="1" x14ac:dyDescent="0.2">
      <c r="A94" s="203"/>
      <c r="B94" s="197"/>
      <c r="C94" s="197"/>
      <c r="D94" s="17" t="s">
        <v>28</v>
      </c>
      <c r="E94" s="201"/>
      <c r="F94" s="25">
        <f>30394.2+8726.4</f>
        <v>39120.6</v>
      </c>
      <c r="G94" s="77">
        <f>H94+I94+J94+K94+L94</f>
        <v>367812.18400000001</v>
      </c>
      <c r="H94" s="76">
        <f>64677.203-50.88</f>
        <v>64626.323000000004</v>
      </c>
      <c r="I94" s="156">
        <f>81995.5+465+14.4-523.4-1540.139</f>
        <v>80411.361000000004</v>
      </c>
      <c r="J94" s="77">
        <v>81995.5</v>
      </c>
      <c r="K94" s="77">
        <v>81995.5</v>
      </c>
      <c r="L94" s="25">
        <v>58783.5</v>
      </c>
      <c r="M94" s="230"/>
      <c r="N94" s="201"/>
    </row>
    <row r="95" spans="1:14" ht="48.75" customHeight="1" x14ac:dyDescent="0.2">
      <c r="A95" s="203"/>
      <c r="B95" s="197"/>
      <c r="C95" s="197"/>
      <c r="D95" s="17" t="s">
        <v>29</v>
      </c>
      <c r="E95" s="201"/>
      <c r="F95" s="25"/>
      <c r="G95" s="77"/>
      <c r="H95" s="76"/>
      <c r="I95" s="154"/>
      <c r="J95" s="77"/>
      <c r="K95" s="77"/>
      <c r="L95" s="25"/>
      <c r="M95" s="230"/>
      <c r="N95" s="201"/>
    </row>
    <row r="96" spans="1:14" ht="32.25" customHeight="1" x14ac:dyDescent="0.2">
      <c r="A96" s="203" t="s">
        <v>74</v>
      </c>
      <c r="B96" s="197" t="s">
        <v>75</v>
      </c>
      <c r="C96" s="201" t="s">
        <v>76</v>
      </c>
      <c r="D96" s="17" t="s">
        <v>34</v>
      </c>
      <c r="E96" s="201" t="s">
        <v>77</v>
      </c>
      <c r="F96" s="18">
        <f t="shared" ref="F96:L96" si="18">F97+F98+F99</f>
        <v>2000</v>
      </c>
      <c r="G96" s="18">
        <f t="shared" si="18"/>
        <v>0</v>
      </c>
      <c r="H96" s="76">
        <f t="shared" si="18"/>
        <v>0</v>
      </c>
      <c r="I96" s="148">
        <f t="shared" si="18"/>
        <v>1000</v>
      </c>
      <c r="J96" s="76">
        <f>J97+J98+J99</f>
        <v>0</v>
      </c>
      <c r="K96" s="76">
        <f>K97+K98+K99</f>
        <v>0</v>
      </c>
      <c r="L96" s="18">
        <f t="shared" si="18"/>
        <v>0</v>
      </c>
      <c r="M96" s="201" t="s">
        <v>26</v>
      </c>
      <c r="N96" s="197" t="s">
        <v>387</v>
      </c>
    </row>
    <row r="97" spans="1:14" ht="69.75" customHeight="1" x14ac:dyDescent="0.2">
      <c r="A97" s="203"/>
      <c r="B97" s="197"/>
      <c r="C97" s="201"/>
      <c r="D97" s="17" t="s">
        <v>27</v>
      </c>
      <c r="E97" s="201"/>
      <c r="F97" s="25">
        <v>2000</v>
      </c>
      <c r="G97" s="25"/>
      <c r="H97" s="76"/>
      <c r="I97" s="156">
        <v>1000</v>
      </c>
      <c r="J97" s="77"/>
      <c r="K97" s="77"/>
      <c r="L97" s="25"/>
      <c r="M97" s="201"/>
      <c r="N97" s="197"/>
    </row>
    <row r="98" spans="1:14" ht="46.5" customHeight="1" x14ac:dyDescent="0.2">
      <c r="A98" s="203"/>
      <c r="B98" s="197"/>
      <c r="C98" s="201"/>
      <c r="D98" s="17" t="s">
        <v>28</v>
      </c>
      <c r="E98" s="201"/>
      <c r="F98" s="25"/>
      <c r="G98" s="25"/>
      <c r="H98" s="76"/>
      <c r="I98" s="154"/>
      <c r="J98" s="77"/>
      <c r="K98" s="77"/>
      <c r="L98" s="25"/>
      <c r="M98" s="201"/>
      <c r="N98" s="197"/>
    </row>
    <row r="99" spans="1:14" ht="49.5" customHeight="1" x14ac:dyDescent="0.2">
      <c r="A99" s="203"/>
      <c r="B99" s="197"/>
      <c r="C99" s="201"/>
      <c r="D99" s="17" t="s">
        <v>29</v>
      </c>
      <c r="E99" s="201"/>
      <c r="F99" s="25"/>
      <c r="G99" s="77"/>
      <c r="H99" s="76"/>
      <c r="I99" s="154"/>
      <c r="J99" s="77"/>
      <c r="K99" s="77"/>
      <c r="L99" s="25"/>
      <c r="M99" s="201"/>
      <c r="N99" s="197"/>
    </row>
    <row r="100" spans="1:14" ht="45.75" customHeight="1" x14ac:dyDescent="0.2">
      <c r="A100" s="203" t="s">
        <v>78</v>
      </c>
      <c r="B100" s="197" t="s">
        <v>79</v>
      </c>
      <c r="C100" s="197" t="s">
        <v>80</v>
      </c>
      <c r="D100" s="17" t="s">
        <v>34</v>
      </c>
      <c r="E100" s="201" t="s">
        <v>55</v>
      </c>
      <c r="F100" s="18">
        <f t="shared" ref="F100:L100" si="19">F101+F102+F103</f>
        <v>222.4</v>
      </c>
      <c r="G100" s="76">
        <f t="shared" si="19"/>
        <v>711.28</v>
      </c>
      <c r="H100" s="76">
        <f t="shared" si="19"/>
        <v>55.56</v>
      </c>
      <c r="I100" s="148">
        <f t="shared" si="19"/>
        <v>111.12</v>
      </c>
      <c r="J100" s="76">
        <f>J101+J102+J103</f>
        <v>222.3</v>
      </c>
      <c r="K100" s="76">
        <f>K101+K102+K103</f>
        <v>222.3</v>
      </c>
      <c r="L100" s="18">
        <f t="shared" si="19"/>
        <v>100</v>
      </c>
      <c r="M100" s="201" t="s">
        <v>26</v>
      </c>
      <c r="N100" s="207" t="s">
        <v>219</v>
      </c>
    </row>
    <row r="101" spans="1:14" ht="68.25" customHeight="1" x14ac:dyDescent="0.2">
      <c r="A101" s="203"/>
      <c r="B101" s="197"/>
      <c r="C101" s="197"/>
      <c r="D101" s="17" t="s">
        <v>27</v>
      </c>
      <c r="E101" s="201"/>
      <c r="F101" s="26"/>
      <c r="G101" s="79"/>
      <c r="H101" s="76"/>
      <c r="I101" s="154"/>
      <c r="J101" s="79"/>
      <c r="K101" s="79"/>
      <c r="L101" s="26"/>
      <c r="M101" s="201"/>
      <c r="N101" s="207"/>
    </row>
    <row r="102" spans="1:14" ht="52.5" customHeight="1" x14ac:dyDescent="0.2">
      <c r="A102" s="203"/>
      <c r="B102" s="197"/>
      <c r="C102" s="197"/>
      <c r="D102" s="17" t="s">
        <v>28</v>
      </c>
      <c r="E102" s="201"/>
      <c r="F102" s="26">
        <v>222.4</v>
      </c>
      <c r="G102" s="79">
        <f>H102+I102+J102+K102+L102</f>
        <v>711.28</v>
      </c>
      <c r="H102" s="76">
        <f>100+122.24-166.68</f>
        <v>55.56</v>
      </c>
      <c r="I102" s="148">
        <f>222.3-111.18</f>
        <v>111.12</v>
      </c>
      <c r="J102" s="79">
        <v>222.3</v>
      </c>
      <c r="K102" s="79">
        <v>222.3</v>
      </c>
      <c r="L102" s="26">
        <v>100</v>
      </c>
      <c r="M102" s="201"/>
      <c r="N102" s="207"/>
    </row>
    <row r="103" spans="1:14" ht="43.5" customHeight="1" x14ac:dyDescent="0.2">
      <c r="A103" s="203"/>
      <c r="B103" s="197"/>
      <c r="C103" s="197"/>
      <c r="D103" s="17" t="s">
        <v>29</v>
      </c>
      <c r="E103" s="201"/>
      <c r="F103" s="26"/>
      <c r="G103" s="79"/>
      <c r="H103" s="76"/>
      <c r="I103" s="154"/>
      <c r="J103" s="79"/>
      <c r="K103" s="79"/>
      <c r="L103" s="26"/>
      <c r="M103" s="201"/>
      <c r="N103" s="207"/>
    </row>
    <row r="104" spans="1:14" ht="28.5" customHeight="1" x14ac:dyDescent="0.2">
      <c r="A104" s="203" t="s">
        <v>81</v>
      </c>
      <c r="B104" s="197" t="s">
        <v>338</v>
      </c>
      <c r="C104" s="197" t="s">
        <v>76</v>
      </c>
      <c r="D104" s="17" t="s">
        <v>34</v>
      </c>
      <c r="E104" s="201" t="s">
        <v>55</v>
      </c>
      <c r="F104" s="26">
        <f t="shared" ref="F104:L104" si="20">F105+F106+F107</f>
        <v>1500</v>
      </c>
      <c r="G104" s="79">
        <f t="shared" si="20"/>
        <v>30745.760000000002</v>
      </c>
      <c r="H104" s="76">
        <f t="shared" si="20"/>
        <v>3983</v>
      </c>
      <c r="I104" s="154">
        <f t="shared" si="20"/>
        <v>7940.96</v>
      </c>
      <c r="J104" s="79">
        <f>J105+J106+J107</f>
        <v>5940.9</v>
      </c>
      <c r="K104" s="79">
        <f>K105+K106+K107</f>
        <v>5940.9</v>
      </c>
      <c r="L104" s="26">
        <f t="shared" si="20"/>
        <v>6940</v>
      </c>
      <c r="M104" s="201" t="s">
        <v>26</v>
      </c>
      <c r="N104" s="207" t="s">
        <v>220</v>
      </c>
    </row>
    <row r="105" spans="1:14" ht="71.25" customHeight="1" x14ac:dyDescent="0.2">
      <c r="A105" s="203"/>
      <c r="B105" s="197"/>
      <c r="C105" s="197"/>
      <c r="D105" s="17" t="s">
        <v>27</v>
      </c>
      <c r="E105" s="201"/>
      <c r="F105" s="26">
        <v>1500</v>
      </c>
      <c r="G105" s="79">
        <f>H105+I105+J105+K105+L105</f>
        <v>5983</v>
      </c>
      <c r="H105" s="76">
        <f>1350+1200+800+633</f>
        <v>3983</v>
      </c>
      <c r="I105" s="154">
        <v>2000</v>
      </c>
      <c r="J105" s="79"/>
      <c r="K105" s="79"/>
      <c r="L105" s="26"/>
      <c r="M105" s="201"/>
      <c r="N105" s="207"/>
    </row>
    <row r="106" spans="1:14" ht="46.5" customHeight="1" x14ac:dyDescent="0.2">
      <c r="A106" s="203"/>
      <c r="B106" s="197"/>
      <c r="C106" s="197"/>
      <c r="D106" s="17" t="s">
        <v>82</v>
      </c>
      <c r="E106" s="201"/>
      <c r="F106" s="26"/>
      <c r="G106" s="79">
        <f>H106+I106+J106+K106+L106</f>
        <v>24762.760000000002</v>
      </c>
      <c r="H106" s="76">
        <v>0</v>
      </c>
      <c r="I106" s="157">
        <f>2400+3540.96</f>
        <v>5940.96</v>
      </c>
      <c r="J106" s="79">
        <f>2400+3540.9</f>
        <v>5940.9</v>
      </c>
      <c r="K106" s="79">
        <f>2400+3540.9</f>
        <v>5940.9</v>
      </c>
      <c r="L106" s="26">
        <v>6940</v>
      </c>
      <c r="M106" s="201"/>
      <c r="N106" s="207"/>
    </row>
    <row r="107" spans="1:14" ht="45.75" customHeight="1" x14ac:dyDescent="0.2">
      <c r="A107" s="203"/>
      <c r="B107" s="197"/>
      <c r="C107" s="197"/>
      <c r="D107" s="17" t="s">
        <v>29</v>
      </c>
      <c r="E107" s="201"/>
      <c r="F107" s="26"/>
      <c r="G107" s="79"/>
      <c r="H107" s="76"/>
      <c r="I107" s="154"/>
      <c r="J107" s="79"/>
      <c r="K107" s="79"/>
      <c r="L107" s="26"/>
      <c r="M107" s="201"/>
      <c r="N107" s="207"/>
    </row>
    <row r="108" spans="1:14" ht="28.5" customHeight="1" x14ac:dyDescent="0.2">
      <c r="A108" s="203" t="s">
        <v>311</v>
      </c>
      <c r="B108" s="197" t="s">
        <v>324</v>
      </c>
      <c r="C108" s="197" t="s">
        <v>312</v>
      </c>
      <c r="D108" s="17" t="s">
        <v>34</v>
      </c>
      <c r="E108" s="201" t="s">
        <v>55</v>
      </c>
      <c r="F108" s="26">
        <f t="shared" ref="F108:L108" si="21">F109+F110+F111</f>
        <v>0</v>
      </c>
      <c r="G108" s="79">
        <f t="shared" si="21"/>
        <v>200</v>
      </c>
      <c r="H108" s="76">
        <f t="shared" si="21"/>
        <v>200</v>
      </c>
      <c r="I108" s="154">
        <f t="shared" si="21"/>
        <v>0</v>
      </c>
      <c r="J108" s="79">
        <f>J109+J110+J111</f>
        <v>0</v>
      </c>
      <c r="K108" s="79">
        <f>K109+K110+K111</f>
        <v>0</v>
      </c>
      <c r="L108" s="26">
        <f t="shared" si="21"/>
        <v>0</v>
      </c>
      <c r="M108" s="201" t="s">
        <v>26</v>
      </c>
      <c r="N108" s="207" t="s">
        <v>339</v>
      </c>
    </row>
    <row r="109" spans="1:14" ht="71.25" customHeight="1" x14ac:dyDescent="0.2">
      <c r="A109" s="203"/>
      <c r="B109" s="197"/>
      <c r="C109" s="197"/>
      <c r="D109" s="17" t="s">
        <v>27</v>
      </c>
      <c r="E109" s="201"/>
      <c r="F109" s="26"/>
      <c r="G109" s="79">
        <f>H109+I109+J109+K109+L109</f>
        <v>0</v>
      </c>
      <c r="H109" s="76"/>
      <c r="I109" s="154"/>
      <c r="J109" s="79"/>
      <c r="K109" s="79"/>
      <c r="L109" s="26"/>
      <c r="M109" s="201"/>
      <c r="N109" s="207"/>
    </row>
    <row r="110" spans="1:14" ht="46.5" customHeight="1" x14ac:dyDescent="0.2">
      <c r="A110" s="203"/>
      <c r="B110" s="197"/>
      <c r="C110" s="197"/>
      <c r="D110" s="17" t="s">
        <v>82</v>
      </c>
      <c r="E110" s="201"/>
      <c r="F110" s="26"/>
      <c r="G110" s="79">
        <f>H110+I110+J110+K110+L110</f>
        <v>200</v>
      </c>
      <c r="H110" s="76">
        <f>100+100</f>
        <v>200</v>
      </c>
      <c r="I110" s="158"/>
      <c r="J110" s="79"/>
      <c r="K110" s="79"/>
      <c r="L110" s="26"/>
      <c r="M110" s="201"/>
      <c r="N110" s="207"/>
    </row>
    <row r="111" spans="1:14" ht="45.75" customHeight="1" x14ac:dyDescent="0.2">
      <c r="A111" s="203"/>
      <c r="B111" s="197"/>
      <c r="C111" s="197"/>
      <c r="D111" s="17" t="s">
        <v>29</v>
      </c>
      <c r="E111" s="201"/>
      <c r="F111" s="26"/>
      <c r="G111" s="79"/>
      <c r="H111" s="76"/>
      <c r="I111" s="158"/>
      <c r="J111" s="79"/>
      <c r="K111" s="79"/>
      <c r="L111" s="26"/>
      <c r="M111" s="201"/>
      <c r="N111" s="207"/>
    </row>
    <row r="112" spans="1:14" ht="45.75" customHeight="1" x14ac:dyDescent="0.2">
      <c r="A112" s="203" t="s">
        <v>313</v>
      </c>
      <c r="B112" s="197" t="s">
        <v>314</v>
      </c>
      <c r="C112" s="197" t="s">
        <v>76</v>
      </c>
      <c r="D112" s="17" t="s">
        <v>34</v>
      </c>
      <c r="E112" s="201" t="s">
        <v>55</v>
      </c>
      <c r="F112" s="18"/>
      <c r="G112" s="102">
        <f t="shared" ref="G112:G119" si="22">H112+I112+J112+K112+L112</f>
        <v>500</v>
      </c>
      <c r="H112" s="76">
        <f>H113+H114+H115</f>
        <v>500</v>
      </c>
      <c r="I112" s="148">
        <f>I113+I114+I115</f>
        <v>0</v>
      </c>
      <c r="J112" s="76">
        <f>J113+J114+J115</f>
        <v>0</v>
      </c>
      <c r="K112" s="76">
        <f>K113+K114+K115</f>
        <v>0</v>
      </c>
      <c r="L112" s="18">
        <f>L113+L114+L115</f>
        <v>0</v>
      </c>
      <c r="M112" s="201" t="s">
        <v>26</v>
      </c>
      <c r="N112" s="207" t="s">
        <v>219</v>
      </c>
    </row>
    <row r="113" spans="1:14" ht="68.25" customHeight="1" x14ac:dyDescent="0.2">
      <c r="A113" s="203"/>
      <c r="B113" s="197"/>
      <c r="C113" s="197"/>
      <c r="D113" s="17" t="s">
        <v>27</v>
      </c>
      <c r="E113" s="201"/>
      <c r="F113" s="26"/>
      <c r="G113" s="102">
        <f t="shared" si="22"/>
        <v>500</v>
      </c>
      <c r="H113" s="76">
        <v>500</v>
      </c>
      <c r="I113" s="158"/>
      <c r="J113" s="79"/>
      <c r="K113" s="79"/>
      <c r="L113" s="26"/>
      <c r="M113" s="201"/>
      <c r="N113" s="207"/>
    </row>
    <row r="114" spans="1:14" ht="52.5" customHeight="1" x14ac:dyDescent="0.2">
      <c r="A114" s="203"/>
      <c r="B114" s="197"/>
      <c r="C114" s="197"/>
      <c r="D114" s="17" t="s">
        <v>28</v>
      </c>
      <c r="E114" s="201"/>
      <c r="F114" s="26"/>
      <c r="G114" s="102">
        <f t="shared" si="22"/>
        <v>0</v>
      </c>
      <c r="H114" s="76"/>
      <c r="I114" s="158"/>
      <c r="J114" s="79"/>
      <c r="K114" s="79"/>
      <c r="L114" s="26"/>
      <c r="M114" s="201"/>
      <c r="N114" s="207"/>
    </row>
    <row r="115" spans="1:14" ht="43.5" customHeight="1" x14ac:dyDescent="0.2">
      <c r="A115" s="203"/>
      <c r="B115" s="197"/>
      <c r="C115" s="197"/>
      <c r="D115" s="17" t="s">
        <v>29</v>
      </c>
      <c r="E115" s="201"/>
      <c r="F115" s="26"/>
      <c r="G115" s="102">
        <f t="shared" si="22"/>
        <v>0</v>
      </c>
      <c r="H115" s="76"/>
      <c r="I115" s="158"/>
      <c r="J115" s="79"/>
      <c r="K115" s="79"/>
      <c r="L115" s="26"/>
      <c r="M115" s="201"/>
      <c r="N115" s="207"/>
    </row>
    <row r="116" spans="1:14" ht="45.75" customHeight="1" x14ac:dyDescent="0.2">
      <c r="A116" s="203" t="s">
        <v>315</v>
      </c>
      <c r="B116" s="197" t="s">
        <v>316</v>
      </c>
      <c r="C116" s="201" t="s">
        <v>76</v>
      </c>
      <c r="D116" s="17" t="s">
        <v>34</v>
      </c>
      <c r="E116" s="201" t="s">
        <v>55</v>
      </c>
      <c r="F116" s="18"/>
      <c r="G116" s="102">
        <f t="shared" si="22"/>
        <v>1048.5170000000001</v>
      </c>
      <c r="H116" s="76">
        <f>H117+H118+H119</f>
        <v>1048.5170000000001</v>
      </c>
      <c r="I116" s="148">
        <f>I117+I118+I119</f>
        <v>0</v>
      </c>
      <c r="J116" s="76">
        <f>J117+J118+J119</f>
        <v>0</v>
      </c>
      <c r="K116" s="76">
        <f>K117+K118+K119</f>
        <v>0</v>
      </c>
      <c r="L116" s="18">
        <f>L117+L118+L119</f>
        <v>0</v>
      </c>
      <c r="M116" s="201" t="s">
        <v>26</v>
      </c>
      <c r="N116" s="207" t="s">
        <v>317</v>
      </c>
    </row>
    <row r="117" spans="1:14" ht="68.25" customHeight="1" x14ac:dyDescent="0.2">
      <c r="A117" s="203"/>
      <c r="B117" s="197"/>
      <c r="C117" s="201"/>
      <c r="D117" s="17" t="s">
        <v>27</v>
      </c>
      <c r="E117" s="201"/>
      <c r="F117" s="26"/>
      <c r="G117" s="102">
        <f t="shared" si="22"/>
        <v>0</v>
      </c>
      <c r="H117" s="76"/>
      <c r="I117" s="158"/>
      <c r="J117" s="79"/>
      <c r="K117" s="79"/>
      <c r="L117" s="26"/>
      <c r="M117" s="201"/>
      <c r="N117" s="207"/>
    </row>
    <row r="118" spans="1:14" ht="52.5" customHeight="1" x14ac:dyDescent="0.2">
      <c r="A118" s="203"/>
      <c r="B118" s="197"/>
      <c r="C118" s="201"/>
      <c r="D118" s="17" t="s">
        <v>28</v>
      </c>
      <c r="E118" s="201"/>
      <c r="F118" s="26"/>
      <c r="G118" s="102">
        <f t="shared" si="22"/>
        <v>1048.5170000000001</v>
      </c>
      <c r="H118" s="76">
        <v>1048.5170000000001</v>
      </c>
      <c r="I118" s="158"/>
      <c r="J118" s="79"/>
      <c r="K118" s="79"/>
      <c r="L118" s="26"/>
      <c r="M118" s="201"/>
      <c r="N118" s="207"/>
    </row>
    <row r="119" spans="1:14" ht="43.5" customHeight="1" x14ac:dyDescent="0.2">
      <c r="A119" s="203"/>
      <c r="B119" s="197"/>
      <c r="C119" s="201"/>
      <c r="D119" s="17" t="s">
        <v>29</v>
      </c>
      <c r="E119" s="201"/>
      <c r="F119" s="26"/>
      <c r="G119" s="102">
        <f t="shared" si="22"/>
        <v>0</v>
      </c>
      <c r="H119" s="76"/>
      <c r="I119" s="158"/>
      <c r="J119" s="79"/>
      <c r="K119" s="79"/>
      <c r="L119" s="26"/>
      <c r="M119" s="201"/>
      <c r="N119" s="207"/>
    </row>
    <row r="120" spans="1:14" ht="72.75" customHeight="1" x14ac:dyDescent="0.2">
      <c r="A120" s="203" t="s">
        <v>322</v>
      </c>
      <c r="B120" s="197" t="s">
        <v>323</v>
      </c>
      <c r="C120" s="201" t="s">
        <v>105</v>
      </c>
      <c r="D120" s="17" t="s">
        <v>34</v>
      </c>
      <c r="E120" s="201" t="s">
        <v>55</v>
      </c>
      <c r="F120" s="18"/>
      <c r="G120" s="102">
        <f t="shared" ref="G120:G127" si="23">H120+I120+J120+K120+L120</f>
        <v>3959.4880000000003</v>
      </c>
      <c r="H120" s="76">
        <f>H121+H122+H123</f>
        <v>3073.9</v>
      </c>
      <c r="I120" s="155">
        <f>I121+I122+I123</f>
        <v>885.58799999999997</v>
      </c>
      <c r="J120" s="76">
        <f>J121+J122+J123</f>
        <v>0</v>
      </c>
      <c r="K120" s="76">
        <f>K121+K122+K123</f>
        <v>0</v>
      </c>
      <c r="L120" s="18">
        <f>L121+L122+L123</f>
        <v>0</v>
      </c>
      <c r="M120" s="201" t="s">
        <v>26</v>
      </c>
      <c r="N120" s="207" t="s">
        <v>398</v>
      </c>
    </row>
    <row r="121" spans="1:14" ht="72.75" customHeight="1" x14ac:dyDescent="0.2">
      <c r="A121" s="203"/>
      <c r="B121" s="197"/>
      <c r="C121" s="201"/>
      <c r="D121" s="17" t="s">
        <v>27</v>
      </c>
      <c r="E121" s="201"/>
      <c r="F121" s="26"/>
      <c r="G121" s="102">
        <f t="shared" si="23"/>
        <v>0</v>
      </c>
      <c r="H121" s="76"/>
      <c r="I121" s="154"/>
      <c r="J121" s="79"/>
      <c r="K121" s="79"/>
      <c r="L121" s="26"/>
      <c r="M121" s="201"/>
      <c r="N121" s="207"/>
    </row>
    <row r="122" spans="1:14" ht="72.75" customHeight="1" x14ac:dyDescent="0.2">
      <c r="A122" s="203"/>
      <c r="B122" s="197"/>
      <c r="C122" s="201"/>
      <c r="D122" s="17" t="s">
        <v>28</v>
      </c>
      <c r="E122" s="201"/>
      <c r="F122" s="26"/>
      <c r="G122" s="102">
        <f t="shared" si="23"/>
        <v>3959.4880000000003</v>
      </c>
      <c r="H122" s="76">
        <f>1644.8+1429+0.1</f>
        <v>3073.9</v>
      </c>
      <c r="I122" s="155">
        <f>835.86+49.728</f>
        <v>885.58799999999997</v>
      </c>
      <c r="J122" s="79"/>
      <c r="K122" s="79"/>
      <c r="L122" s="26"/>
      <c r="M122" s="201"/>
      <c r="N122" s="207"/>
    </row>
    <row r="123" spans="1:14" ht="117.75" customHeight="1" x14ac:dyDescent="0.2">
      <c r="A123" s="203"/>
      <c r="B123" s="197"/>
      <c r="C123" s="201"/>
      <c r="D123" s="17" t="s">
        <v>29</v>
      </c>
      <c r="E123" s="201"/>
      <c r="F123" s="26"/>
      <c r="G123" s="102">
        <f t="shared" si="23"/>
        <v>0</v>
      </c>
      <c r="H123" s="76"/>
      <c r="I123" s="154"/>
      <c r="J123" s="79"/>
      <c r="K123" s="79"/>
      <c r="L123" s="26"/>
      <c r="M123" s="201"/>
      <c r="N123" s="207"/>
    </row>
    <row r="124" spans="1:14" ht="52.5" customHeight="1" x14ac:dyDescent="0.2">
      <c r="A124" s="203" t="s">
        <v>340</v>
      </c>
      <c r="B124" s="197" t="s">
        <v>341</v>
      </c>
      <c r="C124" s="197" t="s">
        <v>342</v>
      </c>
      <c r="D124" s="17" t="s">
        <v>34</v>
      </c>
      <c r="E124" s="201" t="s">
        <v>55</v>
      </c>
      <c r="F124" s="18"/>
      <c r="G124" s="102">
        <f t="shared" si="23"/>
        <v>61</v>
      </c>
      <c r="H124" s="76">
        <f>H125+H126+H127</f>
        <v>61</v>
      </c>
      <c r="I124" s="148">
        <f>I125+I126+I127</f>
        <v>0</v>
      </c>
      <c r="J124" s="76">
        <f>J125+J126+J127</f>
        <v>0</v>
      </c>
      <c r="K124" s="76">
        <f>K125+K126+K127</f>
        <v>0</v>
      </c>
      <c r="L124" s="18">
        <f>L125+L126+L127</f>
        <v>0</v>
      </c>
      <c r="M124" s="201" t="s">
        <v>26</v>
      </c>
      <c r="N124" s="207" t="s">
        <v>343</v>
      </c>
    </row>
    <row r="125" spans="1:14" ht="72.75" customHeight="1" x14ac:dyDescent="0.2">
      <c r="A125" s="203"/>
      <c r="B125" s="197"/>
      <c r="C125" s="197"/>
      <c r="D125" s="17" t="s">
        <v>27</v>
      </c>
      <c r="E125" s="201"/>
      <c r="F125" s="26"/>
      <c r="G125" s="102">
        <f t="shared" si="23"/>
        <v>0</v>
      </c>
      <c r="H125" s="76"/>
      <c r="I125" s="154"/>
      <c r="J125" s="79"/>
      <c r="K125" s="79"/>
      <c r="L125" s="26"/>
      <c r="M125" s="201"/>
      <c r="N125" s="207"/>
    </row>
    <row r="126" spans="1:14" ht="51" customHeight="1" x14ac:dyDescent="0.2">
      <c r="A126" s="203"/>
      <c r="B126" s="197"/>
      <c r="C126" s="197"/>
      <c r="D126" s="17" t="s">
        <v>28</v>
      </c>
      <c r="E126" s="201"/>
      <c r="F126" s="26"/>
      <c r="G126" s="102">
        <f t="shared" si="23"/>
        <v>61</v>
      </c>
      <c r="H126" s="76">
        <v>61</v>
      </c>
      <c r="I126" s="154"/>
      <c r="J126" s="79"/>
      <c r="K126" s="79"/>
      <c r="L126" s="26"/>
      <c r="M126" s="201"/>
      <c r="N126" s="207"/>
    </row>
    <row r="127" spans="1:14" ht="59.25" customHeight="1" x14ac:dyDescent="0.2">
      <c r="A127" s="203"/>
      <c r="B127" s="197"/>
      <c r="C127" s="197"/>
      <c r="D127" s="17" t="s">
        <v>29</v>
      </c>
      <c r="E127" s="201"/>
      <c r="F127" s="26"/>
      <c r="G127" s="102">
        <f t="shared" si="23"/>
        <v>0</v>
      </c>
      <c r="H127" s="76"/>
      <c r="I127" s="154"/>
      <c r="J127" s="79"/>
      <c r="K127" s="79"/>
      <c r="L127" s="26"/>
      <c r="M127" s="201"/>
      <c r="N127" s="207"/>
    </row>
    <row r="128" spans="1:14" ht="72.75" customHeight="1" x14ac:dyDescent="0.2">
      <c r="A128" s="203" t="s">
        <v>344</v>
      </c>
      <c r="B128" s="197" t="s">
        <v>345</v>
      </c>
      <c r="C128" s="197" t="s">
        <v>342</v>
      </c>
      <c r="D128" s="17" t="s">
        <v>34</v>
      </c>
      <c r="E128" s="201" t="s">
        <v>55</v>
      </c>
      <c r="F128" s="18"/>
      <c r="G128" s="102">
        <f t="shared" ref="G128:G135" si="24">H128+I128+J128+K128+L128</f>
        <v>3230.3199999999997</v>
      </c>
      <c r="H128" s="76">
        <f>H129+H130+H131</f>
        <v>2000</v>
      </c>
      <c r="I128" s="155">
        <f>I129+I130+I131</f>
        <v>1230.32</v>
      </c>
      <c r="J128" s="76">
        <f>J129+J130+J131</f>
        <v>0</v>
      </c>
      <c r="K128" s="76">
        <f>K129+K130+K131</f>
        <v>0</v>
      </c>
      <c r="L128" s="18">
        <f>L129+L130+L131</f>
        <v>0</v>
      </c>
      <c r="M128" s="201" t="s">
        <v>26</v>
      </c>
      <c r="N128" s="207" t="s">
        <v>399</v>
      </c>
    </row>
    <row r="129" spans="1:15" ht="72.75" customHeight="1" x14ac:dyDescent="0.2">
      <c r="A129" s="203"/>
      <c r="B129" s="197"/>
      <c r="C129" s="197"/>
      <c r="D129" s="17" t="s">
        <v>27</v>
      </c>
      <c r="E129" s="201"/>
      <c r="F129" s="26"/>
      <c r="G129" s="102">
        <f t="shared" si="24"/>
        <v>0</v>
      </c>
      <c r="H129" s="76"/>
      <c r="I129" s="154"/>
      <c r="J129" s="79"/>
      <c r="K129" s="79"/>
      <c r="L129" s="26"/>
      <c r="M129" s="201"/>
      <c r="N129" s="207"/>
    </row>
    <row r="130" spans="1:15" ht="59.25" customHeight="1" x14ac:dyDescent="0.2">
      <c r="A130" s="203"/>
      <c r="B130" s="197"/>
      <c r="C130" s="197"/>
      <c r="D130" s="17" t="s">
        <v>28</v>
      </c>
      <c r="E130" s="201"/>
      <c r="F130" s="26"/>
      <c r="G130" s="102">
        <f t="shared" si="24"/>
        <v>3230.3199999999997</v>
      </c>
      <c r="H130" s="76">
        <v>2000</v>
      </c>
      <c r="I130" s="155">
        <f>430.32+800</f>
        <v>1230.32</v>
      </c>
      <c r="J130" s="79"/>
      <c r="K130" s="79"/>
      <c r="L130" s="26"/>
      <c r="M130" s="201"/>
      <c r="N130" s="207"/>
    </row>
    <row r="131" spans="1:15" ht="59.25" customHeight="1" x14ac:dyDescent="0.2">
      <c r="A131" s="203"/>
      <c r="B131" s="197"/>
      <c r="C131" s="197"/>
      <c r="D131" s="17" t="s">
        <v>29</v>
      </c>
      <c r="E131" s="201"/>
      <c r="F131" s="26"/>
      <c r="G131" s="102">
        <f t="shared" si="24"/>
        <v>0</v>
      </c>
      <c r="H131" s="76"/>
      <c r="I131" s="154"/>
      <c r="J131" s="79"/>
      <c r="K131" s="79"/>
      <c r="L131" s="26"/>
      <c r="M131" s="201"/>
      <c r="N131" s="207"/>
    </row>
    <row r="132" spans="1:15" ht="39" customHeight="1" x14ac:dyDescent="0.2">
      <c r="A132" s="203" t="s">
        <v>351</v>
      </c>
      <c r="B132" s="197" t="s">
        <v>382</v>
      </c>
      <c r="C132" s="197" t="s">
        <v>342</v>
      </c>
      <c r="D132" s="17" t="s">
        <v>34</v>
      </c>
      <c r="E132" s="201" t="s">
        <v>55</v>
      </c>
      <c r="F132" s="18"/>
      <c r="G132" s="102">
        <f t="shared" si="24"/>
        <v>6850.32</v>
      </c>
      <c r="H132" s="76">
        <f>H133+H134+H135</f>
        <v>0</v>
      </c>
      <c r="I132" s="155">
        <f>I133+I134+I135</f>
        <v>6850.32</v>
      </c>
      <c r="J132" s="76">
        <f>J133+J134+J135</f>
        <v>0</v>
      </c>
      <c r="K132" s="76">
        <f>K133+K134+K135</f>
        <v>0</v>
      </c>
      <c r="L132" s="18">
        <f>L133+L134+L135</f>
        <v>0</v>
      </c>
      <c r="M132" s="201" t="s">
        <v>26</v>
      </c>
      <c r="N132" s="197" t="s">
        <v>383</v>
      </c>
    </row>
    <row r="133" spans="1:15" ht="72.75" customHeight="1" x14ac:dyDescent="0.2">
      <c r="A133" s="203"/>
      <c r="B133" s="197"/>
      <c r="C133" s="197"/>
      <c r="D133" s="17" t="s">
        <v>27</v>
      </c>
      <c r="E133" s="201"/>
      <c r="F133" s="26"/>
      <c r="G133" s="102">
        <f t="shared" si="24"/>
        <v>0</v>
      </c>
      <c r="H133" s="76"/>
      <c r="I133" s="154"/>
      <c r="J133" s="79"/>
      <c r="K133" s="79"/>
      <c r="L133" s="26"/>
      <c r="M133" s="201"/>
      <c r="N133" s="197"/>
    </row>
    <row r="134" spans="1:15" ht="72.75" customHeight="1" x14ac:dyDescent="0.4">
      <c r="A134" s="203"/>
      <c r="B134" s="197"/>
      <c r="C134" s="197"/>
      <c r="D134" s="17" t="s">
        <v>28</v>
      </c>
      <c r="E134" s="201"/>
      <c r="F134" s="26"/>
      <c r="G134" s="102">
        <f t="shared" si="24"/>
        <v>6850.32</v>
      </c>
      <c r="H134" s="76"/>
      <c r="I134" s="155">
        <f>6633.82+100+97.3+19.2</f>
        <v>6850.32</v>
      </c>
      <c r="J134" s="79"/>
      <c r="K134" s="79"/>
      <c r="L134" s="26"/>
      <c r="M134" s="201"/>
      <c r="N134" s="197"/>
      <c r="O134" s="141">
        <v>97.3</v>
      </c>
    </row>
    <row r="135" spans="1:15" ht="59.25" customHeight="1" x14ac:dyDescent="0.2">
      <c r="A135" s="203"/>
      <c r="B135" s="197"/>
      <c r="C135" s="197"/>
      <c r="D135" s="17" t="s">
        <v>29</v>
      </c>
      <c r="E135" s="201"/>
      <c r="F135" s="26"/>
      <c r="G135" s="102">
        <f t="shared" si="24"/>
        <v>0</v>
      </c>
      <c r="H135" s="76"/>
      <c r="I135" s="154"/>
      <c r="J135" s="79"/>
      <c r="K135" s="79"/>
      <c r="L135" s="26"/>
      <c r="M135" s="201"/>
      <c r="N135" s="197"/>
    </row>
    <row r="136" spans="1:15" s="139" customFormat="1" ht="32.25" customHeight="1" x14ac:dyDescent="0.2">
      <c r="A136" s="181" t="s">
        <v>388</v>
      </c>
      <c r="B136" s="182" t="s">
        <v>391</v>
      </c>
      <c r="C136" s="183" t="s">
        <v>76</v>
      </c>
      <c r="D136" s="140" t="s">
        <v>34</v>
      </c>
      <c r="E136" s="183" t="s">
        <v>77</v>
      </c>
      <c r="F136" s="137">
        <f t="shared" ref="F136:L136" si="25">F137+F138+F139</f>
        <v>0</v>
      </c>
      <c r="G136" s="137">
        <f t="shared" si="25"/>
        <v>0</v>
      </c>
      <c r="H136" s="137">
        <f t="shared" si="25"/>
        <v>0</v>
      </c>
      <c r="I136" s="148">
        <f t="shared" si="25"/>
        <v>0</v>
      </c>
      <c r="J136" s="137">
        <f t="shared" si="25"/>
        <v>0</v>
      </c>
      <c r="K136" s="137">
        <f t="shared" si="25"/>
        <v>0</v>
      </c>
      <c r="L136" s="137">
        <f t="shared" si="25"/>
        <v>0</v>
      </c>
      <c r="M136" s="183" t="s">
        <v>26</v>
      </c>
      <c r="N136" s="182" t="s">
        <v>393</v>
      </c>
    </row>
    <row r="137" spans="1:15" s="139" customFormat="1" ht="69.75" customHeight="1" x14ac:dyDescent="0.2">
      <c r="A137" s="181"/>
      <c r="B137" s="182"/>
      <c r="C137" s="183"/>
      <c r="D137" s="140" t="s">
        <v>27</v>
      </c>
      <c r="E137" s="183"/>
      <c r="F137" s="133"/>
      <c r="G137" s="133"/>
      <c r="H137" s="137"/>
      <c r="I137" s="156"/>
      <c r="J137" s="133"/>
      <c r="K137" s="133"/>
      <c r="L137" s="133"/>
      <c r="M137" s="183"/>
      <c r="N137" s="182"/>
    </row>
    <row r="138" spans="1:15" s="139" customFormat="1" ht="46.5" customHeight="1" x14ac:dyDescent="0.2">
      <c r="A138" s="181"/>
      <c r="B138" s="182"/>
      <c r="C138" s="183"/>
      <c r="D138" s="140" t="s">
        <v>28</v>
      </c>
      <c r="E138" s="183"/>
      <c r="F138" s="133"/>
      <c r="G138" s="133"/>
      <c r="H138" s="137"/>
      <c r="I138" s="154"/>
      <c r="J138" s="133"/>
      <c r="K138" s="133"/>
      <c r="L138" s="133"/>
      <c r="M138" s="183"/>
      <c r="N138" s="182"/>
    </row>
    <row r="139" spans="1:15" s="139" customFormat="1" ht="49.5" customHeight="1" x14ac:dyDescent="0.2">
      <c r="A139" s="181"/>
      <c r="B139" s="182"/>
      <c r="C139" s="183"/>
      <c r="D139" s="140" t="s">
        <v>29</v>
      </c>
      <c r="E139" s="183"/>
      <c r="F139" s="133"/>
      <c r="G139" s="133"/>
      <c r="H139" s="137"/>
      <c r="I139" s="154"/>
      <c r="J139" s="133"/>
      <c r="K139" s="133"/>
      <c r="L139" s="133"/>
      <c r="M139" s="183"/>
      <c r="N139" s="182"/>
    </row>
    <row r="140" spans="1:15" s="139" customFormat="1" ht="45.75" customHeight="1" x14ac:dyDescent="0.2">
      <c r="A140" s="181" t="s">
        <v>389</v>
      </c>
      <c r="B140" s="182" t="s">
        <v>392</v>
      </c>
      <c r="C140" s="182" t="s">
        <v>80</v>
      </c>
      <c r="D140" s="140" t="s">
        <v>34</v>
      </c>
      <c r="E140" s="183" t="s">
        <v>55</v>
      </c>
      <c r="F140" s="137">
        <f t="shared" ref="F140:L140" si="26">F141+F142+F143</f>
        <v>0</v>
      </c>
      <c r="G140" s="137">
        <f t="shared" si="26"/>
        <v>0</v>
      </c>
      <c r="H140" s="137">
        <f t="shared" si="26"/>
        <v>0</v>
      </c>
      <c r="I140" s="155">
        <f t="shared" si="26"/>
        <v>78.400000000000006</v>
      </c>
      <c r="J140" s="137">
        <f t="shared" si="26"/>
        <v>0</v>
      </c>
      <c r="K140" s="137">
        <f t="shared" si="26"/>
        <v>0</v>
      </c>
      <c r="L140" s="137">
        <f t="shared" si="26"/>
        <v>0</v>
      </c>
      <c r="M140" s="183" t="s">
        <v>26</v>
      </c>
      <c r="N140" s="182" t="s">
        <v>393</v>
      </c>
    </row>
    <row r="141" spans="1:15" s="139" customFormat="1" ht="68.25" customHeight="1" x14ac:dyDescent="0.2">
      <c r="A141" s="181"/>
      <c r="B141" s="182"/>
      <c r="C141" s="182"/>
      <c r="D141" s="140" t="s">
        <v>27</v>
      </c>
      <c r="E141" s="183"/>
      <c r="F141" s="142"/>
      <c r="G141" s="142"/>
      <c r="H141" s="137"/>
      <c r="I141" s="154"/>
      <c r="J141" s="142"/>
      <c r="K141" s="142"/>
      <c r="L141" s="142"/>
      <c r="M141" s="183"/>
      <c r="N141" s="182"/>
    </row>
    <row r="142" spans="1:15" s="139" customFormat="1" ht="52.5" customHeight="1" x14ac:dyDescent="0.2">
      <c r="A142" s="181"/>
      <c r="B142" s="182"/>
      <c r="C142" s="182"/>
      <c r="D142" s="140" t="s">
        <v>28</v>
      </c>
      <c r="E142" s="183"/>
      <c r="F142" s="142"/>
      <c r="G142" s="142"/>
      <c r="H142" s="137"/>
      <c r="I142" s="159">
        <v>78.400000000000006</v>
      </c>
      <c r="J142" s="142"/>
      <c r="K142" s="142"/>
      <c r="L142" s="142"/>
      <c r="M142" s="183"/>
      <c r="N142" s="182"/>
    </row>
    <row r="143" spans="1:15" s="139" customFormat="1" ht="43.5" customHeight="1" x14ac:dyDescent="0.2">
      <c r="A143" s="181"/>
      <c r="B143" s="182"/>
      <c r="C143" s="182"/>
      <c r="D143" s="140" t="s">
        <v>29</v>
      </c>
      <c r="E143" s="183"/>
      <c r="F143" s="142"/>
      <c r="G143" s="142"/>
      <c r="H143" s="137"/>
      <c r="I143" s="154"/>
      <c r="J143" s="142"/>
      <c r="K143" s="142"/>
      <c r="L143" s="142"/>
      <c r="M143" s="183"/>
      <c r="N143" s="182"/>
    </row>
    <row r="144" spans="1:15" s="139" customFormat="1" ht="45.75" customHeight="1" x14ac:dyDescent="0.2">
      <c r="A144" s="181" t="s">
        <v>390</v>
      </c>
      <c r="B144" s="182" t="s">
        <v>394</v>
      </c>
      <c r="C144" s="182" t="s">
        <v>342</v>
      </c>
      <c r="D144" s="140" t="s">
        <v>34</v>
      </c>
      <c r="E144" s="183" t="s">
        <v>55</v>
      </c>
      <c r="F144" s="137">
        <f t="shared" ref="F144:L144" si="27">F145+F146+F147</f>
        <v>0</v>
      </c>
      <c r="G144" s="137">
        <f t="shared" si="27"/>
        <v>0</v>
      </c>
      <c r="H144" s="137">
        <f t="shared" si="27"/>
        <v>0</v>
      </c>
      <c r="I144" s="155">
        <f t="shared" si="27"/>
        <v>132.63999999999999</v>
      </c>
      <c r="J144" s="137">
        <f t="shared" si="27"/>
        <v>0</v>
      </c>
      <c r="K144" s="137">
        <f t="shared" si="27"/>
        <v>0</v>
      </c>
      <c r="L144" s="137">
        <f t="shared" si="27"/>
        <v>0</v>
      </c>
      <c r="M144" s="183" t="s">
        <v>26</v>
      </c>
      <c r="N144" s="188" t="s">
        <v>395</v>
      </c>
    </row>
    <row r="145" spans="1:15" s="139" customFormat="1" ht="68.25" customHeight="1" x14ac:dyDescent="0.2">
      <c r="A145" s="181"/>
      <c r="B145" s="182"/>
      <c r="C145" s="182"/>
      <c r="D145" s="140" t="s">
        <v>27</v>
      </c>
      <c r="E145" s="183"/>
      <c r="F145" s="142"/>
      <c r="G145" s="142"/>
      <c r="H145" s="137"/>
      <c r="I145" s="154"/>
      <c r="J145" s="142"/>
      <c r="K145" s="142"/>
      <c r="L145" s="142"/>
      <c r="M145" s="183"/>
      <c r="N145" s="188"/>
    </row>
    <row r="146" spans="1:15" s="139" customFormat="1" ht="52.5" customHeight="1" x14ac:dyDescent="0.2">
      <c r="A146" s="181"/>
      <c r="B146" s="182"/>
      <c r="C146" s="182"/>
      <c r="D146" s="140" t="s">
        <v>28</v>
      </c>
      <c r="E146" s="183"/>
      <c r="F146" s="142"/>
      <c r="G146" s="142"/>
      <c r="H146" s="137"/>
      <c r="I146" s="154">
        <f>77.7+54.94</f>
        <v>132.63999999999999</v>
      </c>
      <c r="J146" s="142"/>
      <c r="K146" s="142"/>
      <c r="L146" s="142"/>
      <c r="M146" s="183"/>
      <c r="N146" s="188"/>
    </row>
    <row r="147" spans="1:15" s="139" customFormat="1" ht="43.5" customHeight="1" x14ac:dyDescent="0.2">
      <c r="A147" s="181"/>
      <c r="B147" s="182"/>
      <c r="C147" s="182"/>
      <c r="D147" s="140" t="s">
        <v>29</v>
      </c>
      <c r="E147" s="183"/>
      <c r="F147" s="142"/>
      <c r="G147" s="142"/>
      <c r="H147" s="137"/>
      <c r="I147" s="154"/>
      <c r="J147" s="142"/>
      <c r="K147" s="142"/>
      <c r="L147" s="142"/>
      <c r="M147" s="183"/>
      <c r="N147" s="188"/>
    </row>
    <row r="148" spans="1:15" ht="32.25" customHeight="1" x14ac:dyDescent="0.2">
      <c r="A148" s="205">
        <v>4</v>
      </c>
      <c r="B148" s="206" t="s">
        <v>262</v>
      </c>
      <c r="C148" s="197" t="s">
        <v>342</v>
      </c>
      <c r="D148" s="17" t="s">
        <v>34</v>
      </c>
      <c r="E148" s="201" t="s">
        <v>55</v>
      </c>
      <c r="F148" s="18">
        <f t="shared" ref="F148:L148" si="28">F149+F150+F151</f>
        <v>2620</v>
      </c>
      <c r="G148" s="76">
        <f t="shared" si="28"/>
        <v>13786.072</v>
      </c>
      <c r="H148" s="76">
        <f t="shared" si="28"/>
        <v>2092.3000000000002</v>
      </c>
      <c r="I148" s="148">
        <f>I149+I150+I151</f>
        <v>2873.7719999999999</v>
      </c>
      <c r="J148" s="76">
        <f>J149+J150+J151</f>
        <v>2930</v>
      </c>
      <c r="K148" s="76">
        <f>K149+K150+K151</f>
        <v>2930</v>
      </c>
      <c r="L148" s="18">
        <f t="shared" si="28"/>
        <v>2960</v>
      </c>
      <c r="M148" s="201" t="s">
        <v>26</v>
      </c>
      <c r="N148" s="201" t="s">
        <v>221</v>
      </c>
    </row>
    <row r="149" spans="1:15" ht="72" customHeight="1" x14ac:dyDescent="0.2">
      <c r="A149" s="205"/>
      <c r="B149" s="206"/>
      <c r="C149" s="197"/>
      <c r="D149" s="17" t="s">
        <v>27</v>
      </c>
      <c r="E149" s="201"/>
      <c r="F149" s="27"/>
      <c r="G149" s="78"/>
      <c r="H149" s="76"/>
      <c r="I149" s="148"/>
      <c r="J149" s="78"/>
      <c r="K149" s="78"/>
      <c r="L149" s="27"/>
      <c r="M149" s="201"/>
      <c r="N149" s="201"/>
    </row>
    <row r="150" spans="1:15" ht="54.75" customHeight="1" x14ac:dyDescent="0.2">
      <c r="A150" s="205"/>
      <c r="B150" s="206"/>
      <c r="C150" s="197"/>
      <c r="D150" s="17" t="s">
        <v>28</v>
      </c>
      <c r="E150" s="201"/>
      <c r="F150" s="27">
        <v>2620</v>
      </c>
      <c r="G150" s="78">
        <f>H150+I150+J150+K150+L150</f>
        <v>13786.072</v>
      </c>
      <c r="H150" s="76">
        <v>2092.3000000000002</v>
      </c>
      <c r="I150" s="148">
        <f>I154</f>
        <v>2873.7719999999999</v>
      </c>
      <c r="J150" s="78">
        <f>955.75+1974.25</f>
        <v>2930</v>
      </c>
      <c r="K150" s="78">
        <f>955.75+1974.25</f>
        <v>2930</v>
      </c>
      <c r="L150" s="27">
        <v>2960</v>
      </c>
      <c r="M150" s="201"/>
      <c r="N150" s="201"/>
    </row>
    <row r="151" spans="1:15" ht="48.75" customHeight="1" x14ac:dyDescent="0.2">
      <c r="A151" s="205"/>
      <c r="B151" s="206"/>
      <c r="C151" s="197"/>
      <c r="D151" s="17" t="s">
        <v>29</v>
      </c>
      <c r="E151" s="201"/>
      <c r="F151" s="26"/>
      <c r="G151" s="79"/>
      <c r="H151" s="76"/>
      <c r="I151" s="154"/>
      <c r="J151" s="79"/>
      <c r="K151" s="79"/>
      <c r="L151" s="26"/>
      <c r="M151" s="201"/>
      <c r="N151" s="201"/>
    </row>
    <row r="152" spans="1:15" ht="32.25" customHeight="1" x14ac:dyDescent="0.2">
      <c r="A152" s="201" t="s">
        <v>118</v>
      </c>
      <c r="B152" s="197" t="s">
        <v>360</v>
      </c>
      <c r="C152" s="197" t="s">
        <v>342</v>
      </c>
      <c r="D152" s="17" t="s">
        <v>34</v>
      </c>
      <c r="E152" s="201" t="s">
        <v>55</v>
      </c>
      <c r="F152" s="18">
        <f t="shared" ref="F152:L152" si="29">F153+F154+F155</f>
        <v>2620</v>
      </c>
      <c r="G152" s="76">
        <f t="shared" si="29"/>
        <v>13786.072</v>
      </c>
      <c r="H152" s="76">
        <f t="shared" si="29"/>
        <v>2092.3000000000002</v>
      </c>
      <c r="I152" s="148">
        <f t="shared" si="29"/>
        <v>2873.7719999999999</v>
      </c>
      <c r="J152" s="76">
        <f t="shared" si="29"/>
        <v>2930</v>
      </c>
      <c r="K152" s="76">
        <f t="shared" si="29"/>
        <v>2930</v>
      </c>
      <c r="L152" s="18">
        <f t="shared" si="29"/>
        <v>2960</v>
      </c>
      <c r="M152" s="201" t="s">
        <v>26</v>
      </c>
      <c r="N152" s="201" t="s">
        <v>221</v>
      </c>
    </row>
    <row r="153" spans="1:15" ht="72" customHeight="1" x14ac:dyDescent="0.2">
      <c r="A153" s="201"/>
      <c r="B153" s="206"/>
      <c r="C153" s="197"/>
      <c r="D153" s="17" t="s">
        <v>27</v>
      </c>
      <c r="E153" s="201"/>
      <c r="F153" s="27"/>
      <c r="G153" s="78"/>
      <c r="H153" s="76"/>
      <c r="I153" s="148"/>
      <c r="J153" s="78"/>
      <c r="K153" s="78"/>
      <c r="L153" s="27"/>
      <c r="M153" s="201"/>
      <c r="N153" s="201"/>
    </row>
    <row r="154" spans="1:15" ht="54.75" customHeight="1" x14ac:dyDescent="0.4">
      <c r="A154" s="201"/>
      <c r="B154" s="206"/>
      <c r="C154" s="197"/>
      <c r="D154" s="17" t="s">
        <v>28</v>
      </c>
      <c r="E154" s="201"/>
      <c r="F154" s="27">
        <v>2620</v>
      </c>
      <c r="G154" s="78">
        <f>H154+I154+J154+K154+L154</f>
        <v>13786.072</v>
      </c>
      <c r="H154" s="76">
        <v>2092.3000000000002</v>
      </c>
      <c r="I154" s="148">
        <f>955.75+1974.25+110-97.3-68.928</f>
        <v>2873.7719999999999</v>
      </c>
      <c r="J154" s="78">
        <f>955.75+1974.25</f>
        <v>2930</v>
      </c>
      <c r="K154" s="78">
        <f>955.75+1974.25</f>
        <v>2930</v>
      </c>
      <c r="L154" s="27">
        <v>2960</v>
      </c>
      <c r="M154" s="201"/>
      <c r="N154" s="201"/>
      <c r="O154" s="141">
        <v>-97.3</v>
      </c>
    </row>
    <row r="155" spans="1:15" ht="48.75" customHeight="1" x14ac:dyDescent="0.2">
      <c r="A155" s="201"/>
      <c r="B155" s="206"/>
      <c r="C155" s="197"/>
      <c r="D155" s="17" t="s">
        <v>29</v>
      </c>
      <c r="E155" s="201"/>
      <c r="F155" s="26"/>
      <c r="G155" s="79"/>
      <c r="H155" s="76"/>
      <c r="I155" s="154"/>
      <c r="J155" s="79"/>
      <c r="K155" s="79"/>
      <c r="L155" s="26"/>
      <c r="M155" s="201"/>
      <c r="N155" s="201"/>
    </row>
    <row r="156" spans="1:15" ht="28.5" customHeight="1" x14ac:dyDescent="0.2">
      <c r="A156" s="205" t="s">
        <v>83</v>
      </c>
      <c r="B156" s="206" t="s">
        <v>84</v>
      </c>
      <c r="C156" s="197" t="s">
        <v>342</v>
      </c>
      <c r="D156" s="17" t="s">
        <v>34</v>
      </c>
      <c r="E156" s="201"/>
      <c r="F156" s="106"/>
      <c r="G156" s="132">
        <f t="shared" ref="G156:L156" si="30">G157+G158+G159</f>
        <v>250</v>
      </c>
      <c r="H156" s="132">
        <f t="shared" si="30"/>
        <v>50</v>
      </c>
      <c r="I156" s="155">
        <f t="shared" si="30"/>
        <v>50</v>
      </c>
      <c r="J156" s="132">
        <f t="shared" si="30"/>
        <v>50</v>
      </c>
      <c r="K156" s="132">
        <f t="shared" si="30"/>
        <v>50</v>
      </c>
      <c r="L156" s="132">
        <f t="shared" si="30"/>
        <v>50</v>
      </c>
      <c r="M156" s="201" t="s">
        <v>26</v>
      </c>
      <c r="N156" s="201" t="s">
        <v>222</v>
      </c>
    </row>
    <row r="157" spans="1:15" ht="69.75" customHeight="1" x14ac:dyDescent="0.2">
      <c r="A157" s="205"/>
      <c r="B157" s="206"/>
      <c r="C157" s="197"/>
      <c r="D157" s="17" t="s">
        <v>27</v>
      </c>
      <c r="E157" s="201"/>
      <c r="F157" s="106"/>
      <c r="G157" s="132"/>
      <c r="H157" s="132"/>
      <c r="I157" s="155"/>
      <c r="J157" s="132"/>
      <c r="K157" s="132"/>
      <c r="L157" s="132"/>
      <c r="M157" s="201"/>
      <c r="N157" s="201"/>
    </row>
    <row r="158" spans="1:15" ht="59.25" customHeight="1" x14ac:dyDescent="0.2">
      <c r="A158" s="205"/>
      <c r="B158" s="206"/>
      <c r="C158" s="197"/>
      <c r="D158" s="17" t="s">
        <v>82</v>
      </c>
      <c r="E158" s="201"/>
      <c r="F158" s="106"/>
      <c r="G158" s="132">
        <f t="shared" ref="G158:L158" si="31">G162</f>
        <v>250</v>
      </c>
      <c r="H158" s="132">
        <f t="shared" si="31"/>
        <v>50</v>
      </c>
      <c r="I158" s="155">
        <f t="shared" si="31"/>
        <v>50</v>
      </c>
      <c r="J158" s="132">
        <f t="shared" si="31"/>
        <v>50</v>
      </c>
      <c r="K158" s="132">
        <f t="shared" si="31"/>
        <v>50</v>
      </c>
      <c r="L158" s="132">
        <f t="shared" si="31"/>
        <v>50</v>
      </c>
      <c r="M158" s="201"/>
      <c r="N158" s="201"/>
    </row>
    <row r="159" spans="1:15" ht="50.25" customHeight="1" x14ac:dyDescent="0.2">
      <c r="A159" s="205"/>
      <c r="B159" s="206"/>
      <c r="C159" s="197"/>
      <c r="D159" s="17" t="s">
        <v>29</v>
      </c>
      <c r="E159" s="201"/>
      <c r="F159" s="26"/>
      <c r="G159" s="133"/>
      <c r="H159" s="133"/>
      <c r="I159" s="154"/>
      <c r="J159" s="79"/>
      <c r="K159" s="79"/>
      <c r="L159" s="26"/>
      <c r="M159" s="201"/>
      <c r="N159" s="201"/>
      <c r="O159" s="103"/>
    </row>
    <row r="160" spans="1:15" ht="28.5" customHeight="1" x14ac:dyDescent="0.2">
      <c r="A160" s="201" t="s">
        <v>138</v>
      </c>
      <c r="B160" s="197" t="s">
        <v>361</v>
      </c>
      <c r="C160" s="197" t="s">
        <v>342</v>
      </c>
      <c r="D160" s="17" t="s">
        <v>34</v>
      </c>
      <c r="E160" s="201"/>
      <c r="F160" s="106"/>
      <c r="G160" s="102">
        <f t="shared" ref="G160:L160" si="32">G161+G162+G163</f>
        <v>250</v>
      </c>
      <c r="H160" s="76">
        <f t="shared" si="32"/>
        <v>50</v>
      </c>
      <c r="I160" s="155">
        <f t="shared" si="32"/>
        <v>50</v>
      </c>
      <c r="J160" s="102">
        <f t="shared" si="32"/>
        <v>50</v>
      </c>
      <c r="K160" s="102">
        <f t="shared" si="32"/>
        <v>50</v>
      </c>
      <c r="L160" s="106">
        <f t="shared" si="32"/>
        <v>50</v>
      </c>
      <c r="M160" s="201" t="s">
        <v>26</v>
      </c>
      <c r="N160" s="201" t="s">
        <v>222</v>
      </c>
    </row>
    <row r="161" spans="1:15" ht="69.75" customHeight="1" x14ac:dyDescent="0.2">
      <c r="A161" s="205"/>
      <c r="B161" s="197"/>
      <c r="C161" s="197"/>
      <c r="D161" s="17" t="s">
        <v>27</v>
      </c>
      <c r="E161" s="201"/>
      <c r="F161" s="106"/>
      <c r="G161" s="102"/>
      <c r="H161" s="76"/>
      <c r="I161" s="155"/>
      <c r="J161" s="102"/>
      <c r="K161" s="102"/>
      <c r="L161" s="106"/>
      <c r="M161" s="201"/>
      <c r="N161" s="201"/>
    </row>
    <row r="162" spans="1:15" ht="59.25" customHeight="1" x14ac:dyDescent="0.2">
      <c r="A162" s="205"/>
      <c r="B162" s="197"/>
      <c r="C162" s="197"/>
      <c r="D162" s="17" t="s">
        <v>82</v>
      </c>
      <c r="E162" s="201"/>
      <c r="F162" s="106"/>
      <c r="G162" s="102">
        <f>H162+I162+J162+K162+L162</f>
        <v>250</v>
      </c>
      <c r="H162" s="76">
        <v>50</v>
      </c>
      <c r="I162" s="155">
        <v>50</v>
      </c>
      <c r="J162" s="102">
        <v>50</v>
      </c>
      <c r="K162" s="102">
        <v>50</v>
      </c>
      <c r="L162" s="106">
        <v>50</v>
      </c>
      <c r="M162" s="201"/>
      <c r="N162" s="201"/>
    </row>
    <row r="163" spans="1:15" ht="50.25" customHeight="1" x14ac:dyDescent="0.2">
      <c r="A163" s="205"/>
      <c r="B163" s="197"/>
      <c r="C163" s="197"/>
      <c r="D163" s="17" t="s">
        <v>29</v>
      </c>
      <c r="E163" s="201"/>
      <c r="F163" s="26"/>
      <c r="G163" s="79"/>
      <c r="H163" s="76"/>
      <c r="I163" s="154"/>
      <c r="J163" s="79"/>
      <c r="K163" s="79"/>
      <c r="L163" s="26"/>
      <c r="M163" s="201"/>
      <c r="N163" s="201"/>
      <c r="O163" s="103"/>
    </row>
    <row r="164" spans="1:15" ht="28.5" customHeight="1" x14ac:dyDescent="0.2">
      <c r="A164" s="205" t="s">
        <v>143</v>
      </c>
      <c r="B164" s="206" t="s">
        <v>362</v>
      </c>
      <c r="C164" s="197" t="s">
        <v>342</v>
      </c>
      <c r="D164" s="17" t="s">
        <v>34</v>
      </c>
      <c r="E164" s="201"/>
      <c r="F164" s="106"/>
      <c r="G164" s="132">
        <f t="shared" ref="G164:L164" si="33">G165+G166+G167</f>
        <v>812.5</v>
      </c>
      <c r="H164" s="132">
        <f t="shared" si="33"/>
        <v>0</v>
      </c>
      <c r="I164" s="155">
        <f t="shared" si="33"/>
        <v>812.5</v>
      </c>
      <c r="J164" s="132">
        <f t="shared" si="33"/>
        <v>0</v>
      </c>
      <c r="K164" s="132">
        <f t="shared" si="33"/>
        <v>0</v>
      </c>
      <c r="L164" s="132">
        <f t="shared" si="33"/>
        <v>0</v>
      </c>
      <c r="M164" s="201" t="s">
        <v>26</v>
      </c>
      <c r="N164" s="201" t="s">
        <v>363</v>
      </c>
    </row>
    <row r="165" spans="1:15" ht="69.75" customHeight="1" x14ac:dyDescent="0.2">
      <c r="A165" s="205"/>
      <c r="B165" s="206"/>
      <c r="C165" s="197"/>
      <c r="D165" s="17" t="s">
        <v>27</v>
      </c>
      <c r="E165" s="201"/>
      <c r="F165" s="106"/>
      <c r="G165" s="132"/>
      <c r="H165" s="132"/>
      <c r="I165" s="155"/>
      <c r="J165" s="132"/>
      <c r="K165" s="132"/>
      <c r="L165" s="132"/>
      <c r="M165" s="201"/>
      <c r="N165" s="201"/>
    </row>
    <row r="166" spans="1:15" ht="59.25" customHeight="1" x14ac:dyDescent="0.2">
      <c r="A166" s="205"/>
      <c r="B166" s="206"/>
      <c r="C166" s="197"/>
      <c r="D166" s="17" t="s">
        <v>82</v>
      </c>
      <c r="E166" s="201"/>
      <c r="F166" s="106"/>
      <c r="G166" s="132">
        <f t="shared" ref="G166:L166" si="34">G170</f>
        <v>812.5</v>
      </c>
      <c r="H166" s="132">
        <f t="shared" si="34"/>
        <v>0</v>
      </c>
      <c r="I166" s="155">
        <f t="shared" si="34"/>
        <v>812.5</v>
      </c>
      <c r="J166" s="132">
        <f t="shared" si="34"/>
        <v>0</v>
      </c>
      <c r="K166" s="132">
        <f t="shared" si="34"/>
        <v>0</v>
      </c>
      <c r="L166" s="132">
        <f t="shared" si="34"/>
        <v>0</v>
      </c>
      <c r="M166" s="201"/>
      <c r="N166" s="201"/>
    </row>
    <row r="167" spans="1:15" ht="50.25" customHeight="1" x14ac:dyDescent="0.2">
      <c r="A167" s="205"/>
      <c r="B167" s="206"/>
      <c r="C167" s="197"/>
      <c r="D167" s="17" t="s">
        <v>29</v>
      </c>
      <c r="E167" s="201"/>
      <c r="F167" s="26"/>
      <c r="G167" s="133"/>
      <c r="H167" s="133"/>
      <c r="I167" s="154"/>
      <c r="J167" s="133"/>
      <c r="K167" s="133"/>
      <c r="L167" s="133"/>
      <c r="M167" s="201"/>
      <c r="N167" s="201"/>
      <c r="O167" s="103"/>
    </row>
    <row r="168" spans="1:15" ht="28.5" customHeight="1" x14ac:dyDescent="0.2">
      <c r="A168" s="201" t="s">
        <v>145</v>
      </c>
      <c r="B168" s="197" t="s">
        <v>363</v>
      </c>
      <c r="C168" s="197" t="s">
        <v>342</v>
      </c>
      <c r="D168" s="17" t="s">
        <v>34</v>
      </c>
      <c r="E168" s="201"/>
      <c r="F168" s="106"/>
      <c r="G168" s="83">
        <f>G169+G170+G171</f>
        <v>812.5</v>
      </c>
      <c r="H168" s="76"/>
      <c r="I168" s="155">
        <f>I169+I170+I171</f>
        <v>812.5</v>
      </c>
      <c r="J168" s="102"/>
      <c r="K168" s="102"/>
      <c r="L168" s="106"/>
      <c r="M168" s="201" t="s">
        <v>26</v>
      </c>
      <c r="N168" s="201" t="s">
        <v>363</v>
      </c>
    </row>
    <row r="169" spans="1:15" ht="69.75" customHeight="1" x14ac:dyDescent="0.2">
      <c r="A169" s="205"/>
      <c r="B169" s="197"/>
      <c r="C169" s="197"/>
      <c r="D169" s="17" t="s">
        <v>27</v>
      </c>
      <c r="E169" s="201"/>
      <c r="F169" s="106"/>
      <c r="G169" s="83"/>
      <c r="H169" s="76"/>
      <c r="I169" s="155"/>
      <c r="J169" s="102"/>
      <c r="K169" s="102"/>
      <c r="L169" s="106"/>
      <c r="M169" s="201"/>
      <c r="N169" s="201"/>
    </row>
    <row r="170" spans="1:15" ht="59.25" customHeight="1" x14ac:dyDescent="0.2">
      <c r="A170" s="205"/>
      <c r="B170" s="197"/>
      <c r="C170" s="197"/>
      <c r="D170" s="17" t="s">
        <v>82</v>
      </c>
      <c r="E170" s="201"/>
      <c r="F170" s="106"/>
      <c r="G170" s="83">
        <f>H170+I170+J170+K170+L170</f>
        <v>812.5</v>
      </c>
      <c r="H170" s="76"/>
      <c r="I170" s="155">
        <v>812.5</v>
      </c>
      <c r="J170" s="102"/>
      <c r="K170" s="102"/>
      <c r="L170" s="106"/>
      <c r="M170" s="201"/>
      <c r="N170" s="201"/>
    </row>
    <row r="171" spans="1:15" ht="50.25" customHeight="1" x14ac:dyDescent="0.2">
      <c r="A171" s="205"/>
      <c r="B171" s="197"/>
      <c r="C171" s="197"/>
      <c r="D171" s="17" t="s">
        <v>29</v>
      </c>
      <c r="E171" s="201"/>
      <c r="F171" s="26"/>
      <c r="G171" s="79"/>
      <c r="H171" s="76"/>
      <c r="I171" s="154"/>
      <c r="J171" s="79"/>
      <c r="K171" s="79"/>
      <c r="L171" s="26"/>
      <c r="M171" s="201"/>
      <c r="N171" s="201"/>
      <c r="O171" s="103"/>
    </row>
    <row r="172" spans="1:15" s="3" customFormat="1" ht="27.75" customHeight="1" x14ac:dyDescent="0.4">
      <c r="A172" s="234" t="s">
        <v>85</v>
      </c>
      <c r="B172" s="234"/>
      <c r="C172" s="234"/>
      <c r="D172" s="28" t="s">
        <v>34</v>
      </c>
      <c r="E172" s="205"/>
      <c r="F172" s="22">
        <f t="shared" ref="F172:L172" si="35">F173+F175+F176+F174</f>
        <v>463893.9</v>
      </c>
      <c r="G172" s="22">
        <f t="shared" si="35"/>
        <v>2890382.4017599998</v>
      </c>
      <c r="H172" s="92">
        <f>H173+H175+H176+H174</f>
        <v>673557.12</v>
      </c>
      <c r="I172" s="151">
        <f>I173+I175+I176+I174</f>
        <v>696977.18176000006</v>
      </c>
      <c r="J172" s="84">
        <f t="shared" si="35"/>
        <v>644348.30000000005</v>
      </c>
      <c r="K172" s="84">
        <f t="shared" si="35"/>
        <v>644348.30000000005</v>
      </c>
      <c r="L172" s="84">
        <f t="shared" si="35"/>
        <v>231151.5</v>
      </c>
      <c r="M172" s="29"/>
      <c r="N172" s="29"/>
      <c r="O172" s="104">
        <v>664794.5</v>
      </c>
    </row>
    <row r="173" spans="1:15" s="3" customFormat="1" ht="76.5" customHeight="1" x14ac:dyDescent="0.4">
      <c r="A173" s="234"/>
      <c r="B173" s="234"/>
      <c r="C173" s="234"/>
      <c r="D173" s="28" t="s">
        <v>27</v>
      </c>
      <c r="E173" s="205"/>
      <c r="F173" s="22">
        <f>F10+F53+F69+F149+F157</f>
        <v>343921.3</v>
      </c>
      <c r="G173" s="22">
        <f>H173+I173+J173+K173+L173</f>
        <v>1703928</v>
      </c>
      <c r="H173" s="92">
        <f>H10+H53+H69+H149+H157</f>
        <v>405672</v>
      </c>
      <c r="I173" s="151">
        <f>I10+I53+I69+I149+I157+I165</f>
        <v>434752</v>
      </c>
      <c r="J173" s="84">
        <f>J10+J53+J69+J149</f>
        <v>431752</v>
      </c>
      <c r="K173" s="84">
        <f>K10+K53+K69+K149</f>
        <v>431752</v>
      </c>
      <c r="L173" s="84">
        <f>L10+L53+L69+L149</f>
        <v>0</v>
      </c>
      <c r="M173" s="30"/>
      <c r="N173" s="232"/>
      <c r="O173" s="104">
        <v>394874</v>
      </c>
    </row>
    <row r="174" spans="1:15" s="3" customFormat="1" ht="75.75" customHeight="1" x14ac:dyDescent="0.4">
      <c r="A174" s="234"/>
      <c r="B174" s="234"/>
      <c r="C174" s="234"/>
      <c r="D174" s="28" t="s">
        <v>292</v>
      </c>
      <c r="E174" s="205"/>
      <c r="F174" s="22"/>
      <c r="G174" s="22">
        <f>H174+I174+J174+K174+L174</f>
        <v>82155.3</v>
      </c>
      <c r="H174" s="92">
        <f>H11</f>
        <v>41735.4</v>
      </c>
      <c r="I174" s="151">
        <f>I11</f>
        <v>40419.9</v>
      </c>
      <c r="J174" s="84">
        <f>J11</f>
        <v>0</v>
      </c>
      <c r="K174" s="84">
        <f>K11</f>
        <v>0</v>
      </c>
      <c r="L174" s="84">
        <f>L11</f>
        <v>0</v>
      </c>
      <c r="M174" s="30"/>
      <c r="N174" s="232"/>
      <c r="O174" s="104">
        <v>41735.4</v>
      </c>
    </row>
    <row r="175" spans="1:15" s="3" customFormat="1" ht="56.25" customHeight="1" x14ac:dyDescent="0.4">
      <c r="A175" s="234"/>
      <c r="B175" s="234"/>
      <c r="C175" s="234"/>
      <c r="D175" s="28" t="s">
        <v>82</v>
      </c>
      <c r="E175" s="205"/>
      <c r="F175" s="134">
        <f>F12+F54+F70+F150+F158+F166</f>
        <v>119972.6</v>
      </c>
      <c r="G175" s="134">
        <f>H175+I175+J175+K175+L175</f>
        <v>1104299.10176</v>
      </c>
      <c r="H175" s="136">
        <f>H12+H54+H70+H150+H158+H166</f>
        <v>226149.71999999997</v>
      </c>
      <c r="I175" s="151">
        <f>I12+I54+I70+I150+I158+I166+0.00076</f>
        <v>221805.28176000001</v>
      </c>
      <c r="J175" s="134">
        <f>J12+J54+J70+J150+J158+J166</f>
        <v>212596.3</v>
      </c>
      <c r="K175" s="134">
        <f>K12+K54+K70+K150+K158+K166</f>
        <v>212596.3</v>
      </c>
      <c r="L175" s="134">
        <f>L12+L54+L70+L150+L158+L166</f>
        <v>231151.5</v>
      </c>
      <c r="M175" s="30"/>
      <c r="N175" s="232"/>
      <c r="O175" s="104">
        <f>O172-O173-O174</f>
        <v>228185.1</v>
      </c>
    </row>
    <row r="176" spans="1:15" s="3" customFormat="1" ht="50.25" customHeight="1" x14ac:dyDescent="0.4">
      <c r="A176" s="234"/>
      <c r="B176" s="234"/>
      <c r="C176" s="234"/>
      <c r="D176" s="28" t="s">
        <v>86</v>
      </c>
      <c r="E176" s="205"/>
      <c r="F176" s="22">
        <f t="shared" ref="F176:L176" si="36">F13+F55+F71+F151</f>
        <v>0</v>
      </c>
      <c r="G176" s="22">
        <f t="shared" si="36"/>
        <v>0</v>
      </c>
      <c r="H176" s="92">
        <f t="shared" si="36"/>
        <v>0</v>
      </c>
      <c r="I176" s="151">
        <f t="shared" si="36"/>
        <v>0</v>
      </c>
      <c r="J176" s="84">
        <f t="shared" si="36"/>
        <v>0</v>
      </c>
      <c r="K176" s="84">
        <f t="shared" si="36"/>
        <v>0</v>
      </c>
      <c r="L176" s="84">
        <f t="shared" si="36"/>
        <v>0</v>
      </c>
      <c r="M176" s="30"/>
      <c r="N176" s="232"/>
      <c r="O176" s="104"/>
    </row>
    <row r="177" spans="1:14" ht="69" hidden="1" customHeight="1" x14ac:dyDescent="0.35">
      <c r="A177" s="31"/>
      <c r="B177" s="32"/>
      <c r="C177" s="32"/>
      <c r="D177" s="33"/>
      <c r="E177" s="33"/>
      <c r="F177" s="33"/>
      <c r="G177" s="33"/>
      <c r="H177" s="118"/>
      <c r="I177" s="160"/>
      <c r="J177" s="33"/>
      <c r="K177" s="33"/>
      <c r="L177" s="33"/>
      <c r="M177" s="33"/>
      <c r="N177" s="33"/>
    </row>
    <row r="178" spans="1:14" ht="83.25" hidden="1" customHeight="1" x14ac:dyDescent="0.35">
      <c r="A178" s="31"/>
      <c r="B178" s="32"/>
      <c r="C178" s="32"/>
      <c r="D178" s="33"/>
      <c r="E178" s="33"/>
      <c r="F178" s="33"/>
      <c r="G178" s="33"/>
      <c r="H178" s="118"/>
      <c r="I178" s="160"/>
      <c r="J178" s="33"/>
      <c r="K178" s="33"/>
      <c r="L178" s="33"/>
      <c r="M178" s="33"/>
      <c r="N178" s="33"/>
    </row>
    <row r="179" spans="1:14" ht="23.25" customHeight="1" x14ac:dyDescent="0.35">
      <c r="A179" s="231" t="s">
        <v>2</v>
      </c>
      <c r="B179" s="231"/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</row>
    <row r="180" spans="1:14" ht="30.75" customHeight="1" x14ac:dyDescent="0.35">
      <c r="A180" s="231" t="s">
        <v>87</v>
      </c>
      <c r="B180" s="231"/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</row>
    <row r="181" spans="1:14" ht="0.75" customHeight="1" x14ac:dyDescent="0.35">
      <c r="A181" s="33"/>
      <c r="B181" s="32"/>
      <c r="C181" s="32"/>
      <c r="D181" s="33"/>
      <c r="E181" s="33"/>
      <c r="F181" s="33"/>
      <c r="G181" s="33"/>
      <c r="H181" s="118"/>
      <c r="I181" s="160"/>
      <c r="J181" s="33"/>
      <c r="K181" s="33"/>
      <c r="L181" s="33"/>
      <c r="M181" s="33"/>
      <c r="N181" s="33"/>
    </row>
    <row r="182" spans="1:14" ht="11.25" customHeight="1" x14ac:dyDescent="0.35">
      <c r="A182" s="31"/>
      <c r="B182" s="32"/>
      <c r="C182" s="32"/>
      <c r="D182" s="33"/>
      <c r="E182" s="33"/>
      <c r="F182" s="33"/>
      <c r="G182" s="33"/>
      <c r="H182" s="118"/>
      <c r="I182" s="160"/>
      <c r="J182" s="33"/>
      <c r="K182" s="33"/>
      <c r="L182" s="33"/>
      <c r="M182" s="33"/>
      <c r="N182" s="33"/>
    </row>
    <row r="183" spans="1:14" ht="23.25" customHeight="1" x14ac:dyDescent="0.2">
      <c r="A183" s="233" t="s">
        <v>88</v>
      </c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</row>
    <row r="184" spans="1:14" s="3" customFormat="1" ht="121.5" customHeight="1" x14ac:dyDescent="0.2">
      <c r="A184" s="218" t="s">
        <v>6</v>
      </c>
      <c r="B184" s="211" t="s">
        <v>7</v>
      </c>
      <c r="C184" s="211" t="s">
        <v>8</v>
      </c>
      <c r="D184" s="204" t="s">
        <v>9</v>
      </c>
      <c r="E184" s="204" t="s">
        <v>10</v>
      </c>
      <c r="F184" s="10" t="s">
        <v>11</v>
      </c>
      <c r="G184" s="204" t="s">
        <v>12</v>
      </c>
      <c r="H184" s="217" t="s">
        <v>13</v>
      </c>
      <c r="I184" s="217"/>
      <c r="J184" s="217"/>
      <c r="K184" s="217"/>
      <c r="L184" s="217"/>
      <c r="M184" s="204" t="s">
        <v>14</v>
      </c>
      <c r="N184" s="216" t="s">
        <v>15</v>
      </c>
    </row>
    <row r="185" spans="1:14" s="3" customFormat="1" ht="127.5" customHeight="1" x14ac:dyDescent="0.2">
      <c r="A185" s="218"/>
      <c r="B185" s="211"/>
      <c r="C185" s="211"/>
      <c r="D185" s="204"/>
      <c r="E185" s="204"/>
      <c r="F185" s="11" t="s">
        <v>16</v>
      </c>
      <c r="G185" s="204"/>
      <c r="H185" s="116" t="s">
        <v>17</v>
      </c>
      <c r="I185" s="145" t="s">
        <v>18</v>
      </c>
      <c r="J185" s="11" t="s">
        <v>19</v>
      </c>
      <c r="K185" s="11" t="s">
        <v>20</v>
      </c>
      <c r="L185" s="11" t="s">
        <v>21</v>
      </c>
      <c r="M185" s="204"/>
      <c r="N185" s="216"/>
    </row>
    <row r="186" spans="1:14" s="4" customFormat="1" ht="25.5" customHeight="1" thickBot="1" x14ac:dyDescent="0.25">
      <c r="A186" s="12">
        <v>1</v>
      </c>
      <c r="B186" s="13">
        <v>2</v>
      </c>
      <c r="C186" s="13">
        <v>3</v>
      </c>
      <c r="D186" s="13">
        <v>4</v>
      </c>
      <c r="E186" s="13">
        <v>5</v>
      </c>
      <c r="F186" s="13">
        <v>6</v>
      </c>
      <c r="G186" s="13">
        <v>7</v>
      </c>
      <c r="H186" s="117">
        <v>8</v>
      </c>
      <c r="I186" s="161">
        <v>9</v>
      </c>
      <c r="J186" s="13">
        <v>10</v>
      </c>
      <c r="K186" s="13">
        <v>11</v>
      </c>
      <c r="L186" s="13">
        <v>12</v>
      </c>
      <c r="M186" s="13">
        <v>13</v>
      </c>
      <c r="N186" s="14">
        <v>14</v>
      </c>
    </row>
    <row r="187" spans="1:14" ht="40.5" customHeight="1" x14ac:dyDescent="0.2">
      <c r="A187" s="187" t="s">
        <v>22</v>
      </c>
      <c r="B187" s="199" t="s">
        <v>1</v>
      </c>
      <c r="C187" s="186" t="s">
        <v>89</v>
      </c>
      <c r="D187" s="34" t="s">
        <v>24</v>
      </c>
      <c r="E187" s="189" t="s">
        <v>55</v>
      </c>
      <c r="F187" s="35">
        <f>F188+F190+F191+F189</f>
        <v>461292.1</v>
      </c>
      <c r="G187" s="36">
        <f>G188+G190+G191</f>
        <v>1760599.4950000001</v>
      </c>
      <c r="H187" s="35">
        <f>H188+H190+H191+H189</f>
        <v>455539.79499999998</v>
      </c>
      <c r="I187" s="162">
        <f>I188+I190+I191+I189</f>
        <v>431907.8</v>
      </c>
      <c r="J187" s="127">
        <f>J188+J190+J191+J189</f>
        <v>431907.8</v>
      </c>
      <c r="K187" s="127">
        <f>K188+K190+K191+K189</f>
        <v>431907.8</v>
      </c>
      <c r="L187" s="127">
        <f>L188+L190+L191+L189</f>
        <v>9336.2999999999993</v>
      </c>
      <c r="M187" s="189" t="s">
        <v>26</v>
      </c>
      <c r="N187" s="189" t="s">
        <v>223</v>
      </c>
    </row>
    <row r="188" spans="1:14" ht="76.5" customHeight="1" x14ac:dyDescent="0.2">
      <c r="A188" s="187"/>
      <c r="B188" s="199"/>
      <c r="C188" s="186"/>
      <c r="D188" s="34" t="s">
        <v>90</v>
      </c>
      <c r="E188" s="189"/>
      <c r="F188" s="37">
        <f>F193+F197+F201</f>
        <v>389939.20000000001</v>
      </c>
      <c r="G188" s="37">
        <f>H188+I188+J188+K188</f>
        <v>1727043</v>
      </c>
      <c r="H188" s="40">
        <f>H193+H197+H201</f>
        <v>446115</v>
      </c>
      <c r="I188" s="163">
        <f>I193+I197+I201</f>
        <v>426976</v>
      </c>
      <c r="J188" s="128">
        <f>J193+J197+J201</f>
        <v>426976</v>
      </c>
      <c r="K188" s="128">
        <f>K193+K197+K201</f>
        <v>426976</v>
      </c>
      <c r="L188" s="128">
        <f>L193+L197+L201</f>
        <v>0</v>
      </c>
      <c r="M188" s="189"/>
      <c r="N188" s="189"/>
    </row>
    <row r="189" spans="1:14" ht="83.25" customHeight="1" x14ac:dyDescent="0.2">
      <c r="A189" s="187"/>
      <c r="B189" s="199"/>
      <c r="C189" s="186"/>
      <c r="D189" s="34" t="s">
        <v>91</v>
      </c>
      <c r="E189" s="189"/>
      <c r="F189" s="37"/>
      <c r="G189" s="37"/>
      <c r="H189" s="40"/>
      <c r="I189" s="163"/>
      <c r="J189" s="128"/>
      <c r="K189" s="128"/>
      <c r="L189" s="128"/>
      <c r="M189" s="189"/>
      <c r="N189" s="189"/>
    </row>
    <row r="190" spans="1:14" ht="51" customHeight="1" x14ac:dyDescent="0.2">
      <c r="A190" s="187"/>
      <c r="B190" s="199"/>
      <c r="C190" s="186"/>
      <c r="D190" s="34" t="s">
        <v>82</v>
      </c>
      <c r="E190" s="189"/>
      <c r="F190" s="37">
        <f>F198+F203+F194</f>
        <v>71352.899999999994</v>
      </c>
      <c r="G190" s="37">
        <f>G194+G203+G207</f>
        <v>33556.494999999995</v>
      </c>
      <c r="H190" s="40">
        <f>H194+H198+H203</f>
        <v>9424.7950000000001</v>
      </c>
      <c r="I190" s="163">
        <f>I194+I198+I203</f>
        <v>4931.8</v>
      </c>
      <c r="J190" s="128">
        <f>J194+J198+J203</f>
        <v>4931.8</v>
      </c>
      <c r="K190" s="128">
        <f>K194+K198+K203</f>
        <v>4931.8</v>
      </c>
      <c r="L190" s="128">
        <f>L194+L198+L203</f>
        <v>9336.2999999999993</v>
      </c>
      <c r="M190" s="189"/>
      <c r="N190" s="189"/>
    </row>
    <row r="191" spans="1:14" ht="196.5" customHeight="1" x14ac:dyDescent="0.2">
      <c r="A191" s="187"/>
      <c r="B191" s="199"/>
      <c r="C191" s="186"/>
      <c r="D191" s="17" t="s">
        <v>29</v>
      </c>
      <c r="E191" s="189"/>
      <c r="F191" s="37">
        <v>0</v>
      </c>
      <c r="G191" s="37">
        <v>0</v>
      </c>
      <c r="H191" s="40">
        <v>0</v>
      </c>
      <c r="I191" s="163">
        <v>0</v>
      </c>
      <c r="J191" s="40">
        <v>0</v>
      </c>
      <c r="K191" s="40">
        <v>0</v>
      </c>
      <c r="L191" s="37">
        <v>0</v>
      </c>
      <c r="M191" s="189"/>
      <c r="N191" s="189"/>
    </row>
    <row r="192" spans="1:14" ht="48" customHeight="1" x14ac:dyDescent="0.2">
      <c r="A192" s="235" t="s">
        <v>30</v>
      </c>
      <c r="B192" s="186" t="s">
        <v>296</v>
      </c>
      <c r="C192" s="186" t="s">
        <v>92</v>
      </c>
      <c r="D192" s="34" t="s">
        <v>24</v>
      </c>
      <c r="E192" s="189" t="s">
        <v>55</v>
      </c>
      <c r="F192" s="38">
        <f t="shared" ref="F192:L192" si="37">F193+F194+F195</f>
        <v>444523.1</v>
      </c>
      <c r="G192" s="39">
        <f t="shared" si="37"/>
        <v>1689852.4950000001</v>
      </c>
      <c r="H192" s="40">
        <f>H193+H194+H195</f>
        <v>438255.79499999998</v>
      </c>
      <c r="I192" s="163">
        <f t="shared" si="37"/>
        <v>414086.8</v>
      </c>
      <c r="J192" s="40">
        <f>J193+J194+J195</f>
        <v>414086.8</v>
      </c>
      <c r="K192" s="40">
        <f>K193+K194+K195</f>
        <v>414086.8</v>
      </c>
      <c r="L192" s="38">
        <f t="shared" si="37"/>
        <v>9336.2999999999993</v>
      </c>
      <c r="M192" s="189" t="s">
        <v>26</v>
      </c>
      <c r="N192" s="208" t="s">
        <v>93</v>
      </c>
    </row>
    <row r="193" spans="1:14" ht="81.75" customHeight="1" x14ac:dyDescent="0.2">
      <c r="A193" s="235"/>
      <c r="B193" s="186"/>
      <c r="C193" s="186"/>
      <c r="D193" s="34" t="s">
        <v>90</v>
      </c>
      <c r="E193" s="189"/>
      <c r="F193" s="38">
        <v>373170.2</v>
      </c>
      <c r="G193" s="39">
        <f>H193+I193+J193+K193+L193</f>
        <v>1656296</v>
      </c>
      <c r="H193" s="119">
        <f>416047+12784</f>
        <v>428831</v>
      </c>
      <c r="I193" s="163">
        <v>409155</v>
      </c>
      <c r="J193" s="40">
        <v>409155</v>
      </c>
      <c r="K193" s="40">
        <v>409155</v>
      </c>
      <c r="L193" s="38"/>
      <c r="M193" s="189"/>
      <c r="N193" s="209"/>
    </row>
    <row r="194" spans="1:14" ht="61.5" customHeight="1" x14ac:dyDescent="0.2">
      <c r="A194" s="235"/>
      <c r="B194" s="186"/>
      <c r="C194" s="186"/>
      <c r="D194" s="34" t="s">
        <v>82</v>
      </c>
      <c r="E194" s="189"/>
      <c r="F194" s="38">
        <v>71352.899999999994</v>
      </c>
      <c r="G194" s="38">
        <f>H194+I194+J194+K194+L194</f>
        <v>33556.494999999995</v>
      </c>
      <c r="H194" s="40">
        <v>9424.7950000000001</v>
      </c>
      <c r="I194" s="164">
        <f>2597.5+1959.3+375</f>
        <v>4931.8</v>
      </c>
      <c r="J194" s="40">
        <f>2597.5+1959.3+375</f>
        <v>4931.8</v>
      </c>
      <c r="K194" s="40">
        <f>2597.5+1959.3+375</f>
        <v>4931.8</v>
      </c>
      <c r="L194" s="38">
        <v>9336.2999999999993</v>
      </c>
      <c r="M194" s="189"/>
      <c r="N194" s="209"/>
    </row>
    <row r="195" spans="1:14" ht="124.5" customHeight="1" x14ac:dyDescent="0.2">
      <c r="A195" s="235"/>
      <c r="B195" s="186"/>
      <c r="C195" s="186"/>
      <c r="D195" s="17" t="s">
        <v>29</v>
      </c>
      <c r="E195" s="189"/>
      <c r="F195" s="38"/>
      <c r="G195" s="38"/>
      <c r="H195" s="40"/>
      <c r="I195" s="163"/>
      <c r="J195" s="40"/>
      <c r="K195" s="40"/>
      <c r="L195" s="38"/>
      <c r="M195" s="189"/>
      <c r="N195" s="210"/>
    </row>
    <row r="196" spans="1:14" ht="45.75" customHeight="1" x14ac:dyDescent="0.2">
      <c r="A196" s="235" t="s">
        <v>32</v>
      </c>
      <c r="B196" s="186" t="s">
        <v>66</v>
      </c>
      <c r="C196" s="186" t="s">
        <v>92</v>
      </c>
      <c r="D196" s="17" t="s">
        <v>34</v>
      </c>
      <c r="E196" s="189" t="s">
        <v>25</v>
      </c>
      <c r="F196" s="38">
        <f>F197+F198+F199</f>
        <v>15948</v>
      </c>
      <c r="G196" s="38">
        <f t="shared" ref="G196:L196" si="38">G197+G198+G199</f>
        <v>66913</v>
      </c>
      <c r="H196" s="40">
        <f t="shared" si="38"/>
        <v>16459</v>
      </c>
      <c r="I196" s="163">
        <f t="shared" si="38"/>
        <v>16818</v>
      </c>
      <c r="J196" s="40">
        <f>J197+J198+J199</f>
        <v>16818</v>
      </c>
      <c r="K196" s="40">
        <f>K197+K198+K199</f>
        <v>16818</v>
      </c>
      <c r="L196" s="38">
        <f t="shared" si="38"/>
        <v>0</v>
      </c>
      <c r="M196" s="189" t="s">
        <v>26</v>
      </c>
      <c r="N196" s="189" t="s">
        <v>94</v>
      </c>
    </row>
    <row r="197" spans="1:14" ht="73.5" customHeight="1" x14ac:dyDescent="0.2">
      <c r="A197" s="235"/>
      <c r="B197" s="186"/>
      <c r="C197" s="186"/>
      <c r="D197" s="34" t="s">
        <v>90</v>
      </c>
      <c r="E197" s="189"/>
      <c r="F197" s="38">
        <f>14467.5+1480.5</f>
        <v>15948</v>
      </c>
      <c r="G197" s="38">
        <f>H197+I197+J197+K197+L197</f>
        <v>66913</v>
      </c>
      <c r="H197" s="40">
        <v>16459</v>
      </c>
      <c r="I197" s="163">
        <v>16818</v>
      </c>
      <c r="J197" s="40">
        <v>16818</v>
      </c>
      <c r="K197" s="40">
        <v>16818</v>
      </c>
      <c r="L197" s="38"/>
      <c r="M197" s="189"/>
      <c r="N197" s="189"/>
    </row>
    <row r="198" spans="1:14" ht="46.5" customHeight="1" x14ac:dyDescent="0.2">
      <c r="A198" s="235"/>
      <c r="B198" s="186"/>
      <c r="C198" s="186"/>
      <c r="D198" s="34" t="s">
        <v>82</v>
      </c>
      <c r="E198" s="189"/>
      <c r="F198" s="38"/>
      <c r="G198" s="38">
        <f>H198+I198+J198+K198+L198</f>
        <v>0</v>
      </c>
      <c r="H198" s="76"/>
      <c r="I198" s="163"/>
      <c r="J198" s="40"/>
      <c r="K198" s="40"/>
      <c r="L198" s="38"/>
      <c r="M198" s="189"/>
      <c r="N198" s="189"/>
    </row>
    <row r="199" spans="1:14" ht="50.25" customHeight="1" x14ac:dyDescent="0.2">
      <c r="A199" s="235"/>
      <c r="B199" s="186"/>
      <c r="C199" s="186"/>
      <c r="D199" s="17" t="s">
        <v>29</v>
      </c>
      <c r="E199" s="189"/>
      <c r="F199" s="38"/>
      <c r="G199" s="38"/>
      <c r="H199" s="40"/>
      <c r="I199" s="163"/>
      <c r="J199" s="40"/>
      <c r="K199" s="40"/>
      <c r="L199" s="38"/>
      <c r="M199" s="189"/>
      <c r="N199" s="189"/>
    </row>
    <row r="200" spans="1:14" ht="24.75" customHeight="1" x14ac:dyDescent="0.2">
      <c r="A200" s="235" t="s">
        <v>35</v>
      </c>
      <c r="B200" s="186" t="s">
        <v>95</v>
      </c>
      <c r="C200" s="186" t="s">
        <v>92</v>
      </c>
      <c r="D200" s="17" t="s">
        <v>34</v>
      </c>
      <c r="E200" s="189" t="s">
        <v>25</v>
      </c>
      <c r="F200" s="38">
        <f>F201+F202+F203</f>
        <v>821</v>
      </c>
      <c r="G200" s="38">
        <f>H200+I200+J200+K200+L200</f>
        <v>3834</v>
      </c>
      <c r="H200" s="40">
        <f>H201+H202+H203+H204</f>
        <v>825</v>
      </c>
      <c r="I200" s="163">
        <f>I201+I202+I203+I204</f>
        <v>1003</v>
      </c>
      <c r="J200" s="40">
        <f>J201+J202+J203+J204</f>
        <v>1003</v>
      </c>
      <c r="K200" s="40">
        <f>K201+K202+K203+K204</f>
        <v>1003</v>
      </c>
      <c r="L200" s="38">
        <f>L201+L202+L203+L204</f>
        <v>0</v>
      </c>
      <c r="M200" s="189" t="s">
        <v>26</v>
      </c>
      <c r="N200" s="189" t="s">
        <v>224</v>
      </c>
    </row>
    <row r="201" spans="1:14" ht="69" customHeight="1" x14ac:dyDescent="0.2">
      <c r="A201" s="235"/>
      <c r="B201" s="186"/>
      <c r="C201" s="186"/>
      <c r="D201" s="34" t="s">
        <v>90</v>
      </c>
      <c r="E201" s="189"/>
      <c r="F201" s="38">
        <v>821</v>
      </c>
      <c r="G201" s="38">
        <f>H201+I201+J201+K201+L201</f>
        <v>3834</v>
      </c>
      <c r="H201" s="40">
        <v>825</v>
      </c>
      <c r="I201" s="163">
        <v>1003</v>
      </c>
      <c r="J201" s="40">
        <v>1003</v>
      </c>
      <c r="K201" s="40">
        <v>1003</v>
      </c>
      <c r="L201" s="38"/>
      <c r="M201" s="189"/>
      <c r="N201" s="189"/>
    </row>
    <row r="202" spans="1:14" ht="70.5" customHeight="1" x14ac:dyDescent="0.2">
      <c r="A202" s="235"/>
      <c r="B202" s="186"/>
      <c r="C202" s="186"/>
      <c r="D202" s="34" t="s">
        <v>91</v>
      </c>
      <c r="E202" s="189"/>
      <c r="F202" s="38"/>
      <c r="G202" s="38"/>
      <c r="H202" s="40"/>
      <c r="I202" s="163"/>
      <c r="J202" s="40"/>
      <c r="K202" s="40"/>
      <c r="L202" s="38"/>
      <c r="M202" s="189"/>
      <c r="N202" s="189"/>
    </row>
    <row r="203" spans="1:14" ht="55.5" customHeight="1" x14ac:dyDescent="0.2">
      <c r="A203" s="235"/>
      <c r="B203" s="186"/>
      <c r="C203" s="186"/>
      <c r="D203" s="34" t="s">
        <v>82</v>
      </c>
      <c r="E203" s="189"/>
      <c r="F203" s="38"/>
      <c r="G203" s="38"/>
      <c r="H203" s="76"/>
      <c r="I203" s="163"/>
      <c r="J203" s="40"/>
      <c r="K203" s="40"/>
      <c r="L203" s="38"/>
      <c r="M203" s="189"/>
      <c r="N203" s="189"/>
    </row>
    <row r="204" spans="1:14" ht="55.5" customHeight="1" x14ac:dyDescent="0.2">
      <c r="A204" s="235"/>
      <c r="B204" s="186"/>
      <c r="C204" s="186"/>
      <c r="D204" s="17" t="s">
        <v>29</v>
      </c>
      <c r="E204" s="189"/>
      <c r="F204" s="38"/>
      <c r="G204" s="38"/>
      <c r="H204" s="40"/>
      <c r="I204" s="163"/>
      <c r="J204" s="40"/>
      <c r="K204" s="40"/>
      <c r="L204" s="38"/>
      <c r="M204" s="189"/>
      <c r="N204" s="189"/>
    </row>
    <row r="205" spans="1:14" ht="34.5" customHeight="1" x14ac:dyDescent="0.2">
      <c r="A205" s="236" t="s">
        <v>42</v>
      </c>
      <c r="B205" s="199" t="s">
        <v>239</v>
      </c>
      <c r="C205" s="186" t="s">
        <v>96</v>
      </c>
      <c r="D205" s="17" t="s">
        <v>34</v>
      </c>
      <c r="E205" s="189" t="s">
        <v>25</v>
      </c>
      <c r="F205" s="38">
        <f>F206+F207+F208</f>
        <v>4407</v>
      </c>
      <c r="G205" s="38">
        <f>H205+I205+J205+K205+L205</f>
        <v>20108</v>
      </c>
      <c r="H205" s="40">
        <f>H206+H207+H208</f>
        <v>4778</v>
      </c>
      <c r="I205" s="163">
        <f>I206+I207+I208</f>
        <v>5110</v>
      </c>
      <c r="J205" s="40">
        <f>J206+J207+J208</f>
        <v>5110</v>
      </c>
      <c r="K205" s="40">
        <f>K206+K207+K208</f>
        <v>5110</v>
      </c>
      <c r="L205" s="38">
        <f>L206+L207+L208</f>
        <v>0</v>
      </c>
      <c r="M205" s="189" t="s">
        <v>26</v>
      </c>
      <c r="N205" s="210" t="s">
        <v>97</v>
      </c>
    </row>
    <row r="206" spans="1:14" ht="73.5" customHeight="1" x14ac:dyDescent="0.2">
      <c r="A206" s="236"/>
      <c r="B206" s="199"/>
      <c r="C206" s="186"/>
      <c r="D206" s="34" t="s">
        <v>90</v>
      </c>
      <c r="E206" s="189"/>
      <c r="F206" s="38">
        <v>4407</v>
      </c>
      <c r="G206" s="38">
        <f>H206+I206+J206+K206+L206</f>
        <v>20108</v>
      </c>
      <c r="H206" s="40">
        <v>4778</v>
      </c>
      <c r="I206" s="163">
        <v>5110</v>
      </c>
      <c r="J206" s="40">
        <v>5110</v>
      </c>
      <c r="K206" s="40">
        <v>5110</v>
      </c>
      <c r="L206" s="38"/>
      <c r="M206" s="189"/>
      <c r="N206" s="210"/>
    </row>
    <row r="207" spans="1:14" ht="51" customHeight="1" x14ac:dyDescent="0.2">
      <c r="A207" s="236"/>
      <c r="B207" s="199"/>
      <c r="C207" s="186"/>
      <c r="D207" s="34" t="s">
        <v>82</v>
      </c>
      <c r="E207" s="189"/>
      <c r="F207" s="38"/>
      <c r="G207" s="38"/>
      <c r="H207" s="76"/>
      <c r="I207" s="163"/>
      <c r="J207" s="40"/>
      <c r="K207" s="40"/>
      <c r="L207" s="38"/>
      <c r="M207" s="189"/>
      <c r="N207" s="210"/>
    </row>
    <row r="208" spans="1:14" ht="52.5" customHeight="1" x14ac:dyDescent="0.2">
      <c r="A208" s="236"/>
      <c r="B208" s="199"/>
      <c r="C208" s="186"/>
      <c r="D208" s="17" t="s">
        <v>29</v>
      </c>
      <c r="E208" s="189"/>
      <c r="F208" s="38"/>
      <c r="G208" s="38"/>
      <c r="H208" s="40"/>
      <c r="I208" s="163"/>
      <c r="J208" s="40"/>
      <c r="K208" s="40"/>
      <c r="L208" s="38"/>
      <c r="M208" s="189"/>
      <c r="N208" s="210"/>
    </row>
    <row r="209" spans="1:14" ht="43.5" customHeight="1" x14ac:dyDescent="0.2">
      <c r="A209" s="237" t="s">
        <v>102</v>
      </c>
      <c r="B209" s="199" t="s">
        <v>240</v>
      </c>
      <c r="C209" s="186" t="s">
        <v>92</v>
      </c>
      <c r="D209" s="17" t="s">
        <v>34</v>
      </c>
      <c r="E209" s="189" t="s">
        <v>55</v>
      </c>
      <c r="F209" s="40">
        <f>F210+F211+F212+F213</f>
        <v>84467.3</v>
      </c>
      <c r="G209" s="38">
        <f>H209+I209+J209+K209+L209</f>
        <v>484398.54100000008</v>
      </c>
      <c r="H209" s="40">
        <f>H210+H211+H212+H213</f>
        <v>85008.741000000009</v>
      </c>
      <c r="I209" s="163">
        <f>I210+I211+I212+I213</f>
        <v>105640.70000000001</v>
      </c>
      <c r="J209" s="128">
        <f>J210+J211+J212+J213</f>
        <v>107440.70000000001</v>
      </c>
      <c r="K209" s="128">
        <f>K210+K211+K212+K213</f>
        <v>107440.70000000001</v>
      </c>
      <c r="L209" s="128">
        <f>L210+L211+L212+L213</f>
        <v>78867.699999999983</v>
      </c>
      <c r="M209" s="189" t="s">
        <v>26</v>
      </c>
      <c r="N209" s="189" t="s">
        <v>225</v>
      </c>
    </row>
    <row r="210" spans="1:14" ht="67.5" customHeight="1" x14ac:dyDescent="0.2">
      <c r="A210" s="237"/>
      <c r="B210" s="199"/>
      <c r="C210" s="186"/>
      <c r="D210" s="34" t="s">
        <v>90</v>
      </c>
      <c r="E210" s="189"/>
      <c r="F210" s="40">
        <f>F215+F219+F223+F227</f>
        <v>18998</v>
      </c>
      <c r="G210" s="38">
        <f>H210+I210+J210+K210+L210</f>
        <v>100647</v>
      </c>
      <c r="H210" s="40">
        <f>H215+H219+H223+H227</f>
        <v>19689</v>
      </c>
      <c r="I210" s="163">
        <f>I215+I219+I223+I227</f>
        <v>24330</v>
      </c>
      <c r="J210" s="128">
        <f>J215+J219+J223+J227</f>
        <v>28314</v>
      </c>
      <c r="K210" s="128">
        <f>K215+K219+K223+K227</f>
        <v>28314</v>
      </c>
      <c r="L210" s="128">
        <f>L215+L219+L223+L227</f>
        <v>0</v>
      </c>
      <c r="M210" s="189"/>
      <c r="N210" s="189"/>
    </row>
    <row r="211" spans="1:14" ht="71.25" customHeight="1" x14ac:dyDescent="0.2">
      <c r="A211" s="237"/>
      <c r="B211" s="199"/>
      <c r="C211" s="186"/>
      <c r="D211" s="34" t="s">
        <v>91</v>
      </c>
      <c r="E211" s="189"/>
      <c r="F211" s="38"/>
      <c r="G211" s="38"/>
      <c r="H211" s="40"/>
      <c r="I211" s="163"/>
      <c r="J211" s="128"/>
      <c r="K211" s="128"/>
      <c r="L211" s="128"/>
      <c r="M211" s="189"/>
      <c r="N211" s="189"/>
    </row>
    <row r="212" spans="1:14" ht="43.5" customHeight="1" x14ac:dyDescent="0.2">
      <c r="A212" s="237"/>
      <c r="B212" s="199"/>
      <c r="C212" s="186"/>
      <c r="D212" s="34" t="s">
        <v>82</v>
      </c>
      <c r="E212" s="189"/>
      <c r="F212" s="40">
        <f>F216+F220+F224+F228</f>
        <v>65469.3</v>
      </c>
      <c r="G212" s="40">
        <f>H212+I212+J212+K212+L212</f>
        <v>383751.54099999997</v>
      </c>
      <c r="H212" s="40">
        <f>H216+H220+H224+H228</f>
        <v>65319.741000000002</v>
      </c>
      <c r="I212" s="163">
        <f>I216+I220+I224+I228</f>
        <v>81310.700000000012</v>
      </c>
      <c r="J212" s="128">
        <f>J216+J220+J224+J228</f>
        <v>79126.700000000012</v>
      </c>
      <c r="K212" s="128">
        <f>K216+K220+K224+K228</f>
        <v>79126.700000000012</v>
      </c>
      <c r="L212" s="128">
        <f>L216+L220+L224+L228</f>
        <v>78867.699999999983</v>
      </c>
      <c r="M212" s="189"/>
      <c r="N212" s="189"/>
    </row>
    <row r="213" spans="1:14" ht="43.5" customHeight="1" x14ac:dyDescent="0.2">
      <c r="A213" s="237"/>
      <c r="B213" s="199"/>
      <c r="C213" s="186"/>
      <c r="D213" s="17" t="s">
        <v>29</v>
      </c>
      <c r="E213" s="189"/>
      <c r="F213" s="38"/>
      <c r="G213" s="38"/>
      <c r="H213" s="40"/>
      <c r="I213" s="163"/>
      <c r="J213" s="40"/>
      <c r="K213" s="40"/>
      <c r="L213" s="38"/>
      <c r="M213" s="189"/>
      <c r="N213" s="189"/>
    </row>
    <row r="214" spans="1:14" ht="43.5" customHeight="1" x14ac:dyDescent="0.2">
      <c r="A214" s="235" t="s">
        <v>57</v>
      </c>
      <c r="B214" s="186" t="s">
        <v>98</v>
      </c>
      <c r="C214" s="186" t="s">
        <v>92</v>
      </c>
      <c r="D214" s="17" t="s">
        <v>34</v>
      </c>
      <c r="E214" s="189" t="s">
        <v>55</v>
      </c>
      <c r="F214" s="38">
        <f>F215+F216+F217</f>
        <v>58467.4</v>
      </c>
      <c r="G214" s="38">
        <f>G215+G216</f>
        <v>345692.11600000004</v>
      </c>
      <c r="H214" s="40">
        <f>H215+H216+H217</f>
        <v>58518.716</v>
      </c>
      <c r="I214" s="163">
        <f>I215+I216+I217</f>
        <v>73392.5</v>
      </c>
      <c r="J214" s="40">
        <f>J215+J216+J217</f>
        <v>71128.5</v>
      </c>
      <c r="K214" s="40">
        <f>K215+K216+K217</f>
        <v>71128.5</v>
      </c>
      <c r="L214" s="38">
        <f>L215+L216+L217</f>
        <v>71523.899999999994</v>
      </c>
      <c r="M214" s="189" t="s">
        <v>26</v>
      </c>
      <c r="N214" s="189" t="s">
        <v>225</v>
      </c>
    </row>
    <row r="215" spans="1:14" ht="72" customHeight="1" x14ac:dyDescent="0.2">
      <c r="A215" s="235"/>
      <c r="B215" s="186"/>
      <c r="C215" s="186"/>
      <c r="D215" s="34" t="s">
        <v>90</v>
      </c>
      <c r="E215" s="189"/>
      <c r="F215" s="38"/>
      <c r="G215" s="38"/>
      <c r="H215" s="40"/>
      <c r="I215" s="163"/>
      <c r="J215" s="40"/>
      <c r="K215" s="40"/>
      <c r="L215" s="38"/>
      <c r="M215" s="189"/>
      <c r="N215" s="189"/>
    </row>
    <row r="216" spans="1:14" ht="60" customHeight="1" x14ac:dyDescent="0.2">
      <c r="A216" s="235"/>
      <c r="B216" s="186"/>
      <c r="C216" s="186"/>
      <c r="D216" s="34" t="s">
        <v>82</v>
      </c>
      <c r="E216" s="189"/>
      <c r="F216" s="38">
        <v>58467.4</v>
      </c>
      <c r="G216" s="38">
        <f>H216+I216+J216+K216+L216</f>
        <v>345692.11600000004</v>
      </c>
      <c r="H216" s="76">
        <f>58518.71+0.006</f>
        <v>58518.716</v>
      </c>
      <c r="I216" s="163">
        <f>71128.5+2524-260</f>
        <v>73392.5</v>
      </c>
      <c r="J216" s="40">
        <v>71128.5</v>
      </c>
      <c r="K216" s="40">
        <v>71128.5</v>
      </c>
      <c r="L216" s="38">
        <v>71523.899999999994</v>
      </c>
      <c r="M216" s="189"/>
      <c r="N216" s="189"/>
    </row>
    <row r="217" spans="1:14" ht="43.5" customHeight="1" x14ac:dyDescent="0.2">
      <c r="A217" s="235"/>
      <c r="B217" s="186"/>
      <c r="C217" s="186"/>
      <c r="D217" s="17" t="s">
        <v>29</v>
      </c>
      <c r="E217" s="189"/>
      <c r="F217" s="38"/>
      <c r="G217" s="38"/>
      <c r="H217" s="40"/>
      <c r="I217" s="163"/>
      <c r="J217" s="40"/>
      <c r="K217" s="40"/>
      <c r="L217" s="38"/>
      <c r="M217" s="189"/>
      <c r="N217" s="189"/>
    </row>
    <row r="218" spans="1:14" ht="43.5" customHeight="1" x14ac:dyDescent="0.2">
      <c r="A218" s="238" t="s">
        <v>67</v>
      </c>
      <c r="B218" s="186" t="s">
        <v>99</v>
      </c>
      <c r="C218" s="186" t="s">
        <v>92</v>
      </c>
      <c r="D218" s="17" t="s">
        <v>34</v>
      </c>
      <c r="E218" s="189" t="s">
        <v>55</v>
      </c>
      <c r="F218" s="38">
        <f>F219+F220+F221</f>
        <v>4110</v>
      </c>
      <c r="G218" s="38">
        <f t="shared" ref="G218:L218" si="39">G219+G220+G221</f>
        <v>19567.145</v>
      </c>
      <c r="H218" s="40">
        <f t="shared" si="39"/>
        <v>3699.4450000000002</v>
      </c>
      <c r="I218" s="163">
        <f t="shared" si="39"/>
        <v>3818.6</v>
      </c>
      <c r="J218" s="40">
        <f>J219+J220+J221</f>
        <v>3898.6</v>
      </c>
      <c r="K218" s="40">
        <f>K219+K220+K221</f>
        <v>3898.6</v>
      </c>
      <c r="L218" s="38">
        <f t="shared" si="39"/>
        <v>4251.8999999999996</v>
      </c>
      <c r="M218" s="189"/>
      <c r="N218" s="210" t="s">
        <v>225</v>
      </c>
    </row>
    <row r="219" spans="1:14" ht="74.25" customHeight="1" x14ac:dyDescent="0.2">
      <c r="A219" s="238"/>
      <c r="B219" s="186"/>
      <c r="C219" s="186"/>
      <c r="D219" s="34" t="s">
        <v>90</v>
      </c>
      <c r="E219" s="189"/>
      <c r="F219" s="38"/>
      <c r="G219" s="38"/>
      <c r="H219" s="40"/>
      <c r="I219" s="163"/>
      <c r="J219" s="40"/>
      <c r="K219" s="40"/>
      <c r="L219" s="38"/>
      <c r="M219" s="189"/>
      <c r="N219" s="210"/>
    </row>
    <row r="220" spans="1:14" ht="53.25" customHeight="1" x14ac:dyDescent="0.2">
      <c r="A220" s="238"/>
      <c r="B220" s="186"/>
      <c r="C220" s="186"/>
      <c r="D220" s="34" t="s">
        <v>82</v>
      </c>
      <c r="E220" s="189"/>
      <c r="F220" s="38">
        <v>4110</v>
      </c>
      <c r="G220" s="38">
        <f>H220+I220+J220+K220+L220</f>
        <v>19567.145</v>
      </c>
      <c r="H220" s="76">
        <v>3699.4450000000002</v>
      </c>
      <c r="I220" s="163">
        <f>3898.6-80</f>
        <v>3818.6</v>
      </c>
      <c r="J220" s="40">
        <v>3898.6</v>
      </c>
      <c r="K220" s="40">
        <v>3898.6</v>
      </c>
      <c r="L220" s="38">
        <v>4251.8999999999996</v>
      </c>
      <c r="M220" s="189"/>
      <c r="N220" s="210"/>
    </row>
    <row r="221" spans="1:14" ht="43.5" customHeight="1" x14ac:dyDescent="0.2">
      <c r="A221" s="238"/>
      <c r="B221" s="186"/>
      <c r="C221" s="186"/>
      <c r="D221" s="17" t="s">
        <v>29</v>
      </c>
      <c r="E221" s="189"/>
      <c r="F221" s="38"/>
      <c r="G221" s="38"/>
      <c r="H221" s="40"/>
      <c r="I221" s="163"/>
      <c r="J221" s="40"/>
      <c r="K221" s="40"/>
      <c r="L221" s="38"/>
      <c r="M221" s="189"/>
      <c r="N221" s="210"/>
    </row>
    <row r="222" spans="1:14" ht="44.25" customHeight="1" x14ac:dyDescent="0.2">
      <c r="A222" s="239" t="s">
        <v>74</v>
      </c>
      <c r="B222" s="186" t="s">
        <v>100</v>
      </c>
      <c r="C222" s="186" t="s">
        <v>101</v>
      </c>
      <c r="D222" s="34" t="s">
        <v>24</v>
      </c>
      <c r="E222" s="189" t="s">
        <v>25</v>
      </c>
      <c r="F222" s="38">
        <f t="shared" ref="F222:L222" si="40">F223+F224+F225</f>
        <v>2891.9</v>
      </c>
      <c r="G222" s="38">
        <f t="shared" si="40"/>
        <v>18492.280000000002</v>
      </c>
      <c r="H222" s="40">
        <f t="shared" si="40"/>
        <v>3101.58</v>
      </c>
      <c r="I222" s="163">
        <f t="shared" si="40"/>
        <v>4099.6000000000004</v>
      </c>
      <c r="J222" s="40">
        <f>J223+J224+J225</f>
        <v>4099.6000000000004</v>
      </c>
      <c r="K222" s="40">
        <f>K223+K224+K225</f>
        <v>4099.6000000000004</v>
      </c>
      <c r="L222" s="38">
        <f t="shared" si="40"/>
        <v>3091.9</v>
      </c>
      <c r="M222" s="189" t="s">
        <v>26</v>
      </c>
      <c r="N222" s="189" t="s">
        <v>225</v>
      </c>
    </row>
    <row r="223" spans="1:14" ht="69.75" customHeight="1" x14ac:dyDescent="0.2">
      <c r="A223" s="239"/>
      <c r="B223" s="186"/>
      <c r="C223" s="186"/>
      <c r="D223" s="34" t="s">
        <v>90</v>
      </c>
      <c r="E223" s="189"/>
      <c r="F223" s="38"/>
      <c r="G223" s="38"/>
      <c r="H223" s="40"/>
      <c r="I223" s="163"/>
      <c r="J223" s="40"/>
      <c r="K223" s="40"/>
      <c r="L223" s="38"/>
      <c r="M223" s="189"/>
      <c r="N223" s="189"/>
    </row>
    <row r="224" spans="1:14" ht="55.5" customHeight="1" x14ac:dyDescent="0.2">
      <c r="A224" s="239"/>
      <c r="B224" s="186"/>
      <c r="C224" s="186"/>
      <c r="D224" s="34" t="s">
        <v>82</v>
      </c>
      <c r="E224" s="189"/>
      <c r="F224" s="41">
        <v>2891.9</v>
      </c>
      <c r="G224" s="38">
        <f>H224+I224+J224+K224+L224</f>
        <v>18492.280000000002</v>
      </c>
      <c r="H224" s="40">
        <v>3101.58</v>
      </c>
      <c r="I224" s="163">
        <v>4099.6000000000004</v>
      </c>
      <c r="J224" s="40">
        <v>4099.6000000000004</v>
      </c>
      <c r="K224" s="40">
        <v>4099.6000000000004</v>
      </c>
      <c r="L224" s="38">
        <v>3091.9</v>
      </c>
      <c r="M224" s="189"/>
      <c r="N224" s="189"/>
    </row>
    <row r="225" spans="1:14" ht="50.25" customHeight="1" x14ac:dyDescent="0.2">
      <c r="A225" s="239"/>
      <c r="B225" s="186"/>
      <c r="C225" s="186"/>
      <c r="D225" s="17" t="s">
        <v>29</v>
      </c>
      <c r="E225" s="189"/>
      <c r="F225" s="38"/>
      <c r="G225" s="38"/>
      <c r="H225" s="40"/>
      <c r="I225" s="163"/>
      <c r="J225" s="40"/>
      <c r="K225" s="40"/>
      <c r="L225" s="38"/>
      <c r="M225" s="189"/>
      <c r="N225" s="189"/>
    </row>
    <row r="226" spans="1:14" ht="39.75" customHeight="1" x14ac:dyDescent="0.2">
      <c r="A226" s="240" t="s">
        <v>78</v>
      </c>
      <c r="B226" s="191" t="s">
        <v>335</v>
      </c>
      <c r="C226" s="186" t="s">
        <v>101</v>
      </c>
      <c r="D226" s="42" t="s">
        <v>34</v>
      </c>
      <c r="E226" s="208" t="s">
        <v>55</v>
      </c>
      <c r="F226" s="40">
        <f t="shared" ref="F226:L226" si="41">F227+F228+F229</f>
        <v>18998</v>
      </c>
      <c r="G226" s="40">
        <f t="shared" si="41"/>
        <v>100647</v>
      </c>
      <c r="H226" s="40">
        <f t="shared" si="41"/>
        <v>19689</v>
      </c>
      <c r="I226" s="163">
        <f t="shared" si="41"/>
        <v>24330</v>
      </c>
      <c r="J226" s="40">
        <f>J227+J228+J229</f>
        <v>28314</v>
      </c>
      <c r="K226" s="40">
        <f>K227+K228+K229</f>
        <v>28314</v>
      </c>
      <c r="L226" s="40">
        <f t="shared" si="41"/>
        <v>0</v>
      </c>
      <c r="M226" s="189" t="s">
        <v>26</v>
      </c>
      <c r="N226" s="208" t="s">
        <v>226</v>
      </c>
    </row>
    <row r="227" spans="1:14" ht="72.75" customHeight="1" x14ac:dyDescent="0.35">
      <c r="A227" s="240"/>
      <c r="B227" s="191"/>
      <c r="C227" s="186"/>
      <c r="D227" s="34" t="s">
        <v>90</v>
      </c>
      <c r="E227" s="209"/>
      <c r="F227" s="43">
        <v>18998</v>
      </c>
      <c r="G227" s="43">
        <f>H227+I227+J227+K227+L227</f>
        <v>100647</v>
      </c>
      <c r="H227" s="43">
        <v>19689</v>
      </c>
      <c r="I227" s="165">
        <v>24330</v>
      </c>
      <c r="J227" s="43">
        <v>28314</v>
      </c>
      <c r="K227" s="43">
        <v>28314</v>
      </c>
      <c r="L227" s="43"/>
      <c r="M227" s="189"/>
      <c r="N227" s="209"/>
    </row>
    <row r="228" spans="1:14" ht="45" customHeight="1" x14ac:dyDescent="0.35">
      <c r="A228" s="240"/>
      <c r="B228" s="191"/>
      <c r="C228" s="186"/>
      <c r="D228" s="34" t="s">
        <v>82</v>
      </c>
      <c r="E228" s="209"/>
      <c r="F228" s="43"/>
      <c r="G228" s="43"/>
      <c r="H228" s="43"/>
      <c r="I228" s="165"/>
      <c r="J228" s="43"/>
      <c r="K228" s="43"/>
      <c r="L228" s="43"/>
      <c r="M228" s="189"/>
      <c r="N228" s="209"/>
    </row>
    <row r="229" spans="1:14" ht="144" customHeight="1" x14ac:dyDescent="0.35">
      <c r="A229" s="240"/>
      <c r="B229" s="191"/>
      <c r="C229" s="186"/>
      <c r="D229" s="17" t="s">
        <v>29</v>
      </c>
      <c r="E229" s="210"/>
      <c r="F229" s="43"/>
      <c r="G229" s="43"/>
      <c r="H229" s="43"/>
      <c r="I229" s="165"/>
      <c r="J229" s="43"/>
      <c r="K229" s="43"/>
      <c r="L229" s="43"/>
      <c r="M229" s="189"/>
      <c r="N229" s="210"/>
    </row>
    <row r="230" spans="1:14" ht="32.25" customHeight="1" x14ac:dyDescent="0.35">
      <c r="A230" s="241" t="s">
        <v>117</v>
      </c>
      <c r="B230" s="242" t="s">
        <v>241</v>
      </c>
      <c r="C230" s="186" t="s">
        <v>103</v>
      </c>
      <c r="D230" s="44" t="s">
        <v>24</v>
      </c>
      <c r="E230" s="189" t="s">
        <v>55</v>
      </c>
      <c r="F230" s="43">
        <f t="shared" ref="F230:L230" si="42">F231+F232+F233+F234</f>
        <v>5235.5</v>
      </c>
      <c r="G230" s="43">
        <f t="shared" si="42"/>
        <v>89405.4473</v>
      </c>
      <c r="H230" s="43">
        <f t="shared" si="42"/>
        <v>20313.813999999998</v>
      </c>
      <c r="I230" s="165">
        <f t="shared" si="42"/>
        <v>47422.656179999998</v>
      </c>
      <c r="J230" s="129">
        <f t="shared" si="42"/>
        <v>17233.34</v>
      </c>
      <c r="K230" s="129">
        <f t="shared" si="42"/>
        <v>17233.34</v>
      </c>
      <c r="L230" s="129">
        <f t="shared" si="42"/>
        <v>17012</v>
      </c>
      <c r="M230" s="189" t="s">
        <v>26</v>
      </c>
      <c r="N230" s="187" t="s">
        <v>104</v>
      </c>
    </row>
    <row r="231" spans="1:14" ht="78" customHeight="1" x14ac:dyDescent="0.2">
      <c r="A231" s="241"/>
      <c r="B231" s="243"/>
      <c r="C231" s="186"/>
      <c r="D231" s="34" t="s">
        <v>90</v>
      </c>
      <c r="E231" s="189"/>
      <c r="F231" s="37">
        <f>F236+F240+F248+F260+F269+F244+F273+F278</f>
        <v>3818</v>
      </c>
      <c r="G231" s="37">
        <f>H231+I231+J231+K231+L231</f>
        <v>3837.4</v>
      </c>
      <c r="H231" s="40">
        <f>H236+H240+H248+H260+H269+H273+H278+H283+H288</f>
        <v>2837.4</v>
      </c>
      <c r="I231" s="163">
        <f>I236+I240+I248+I260+I269+I273+I278+I283+I288+I293+I298+I303+I308+I313</f>
        <v>1000</v>
      </c>
      <c r="J231" s="128">
        <f>J236+J240+J248+J260+J269+J273+J278+J283+J288+J293+J298+J303+J308+J313</f>
        <v>0</v>
      </c>
      <c r="K231" s="128">
        <f>K236+K240+K248+K260+K269+K273+K278+K283+K288+K293+K298+K303+K308+K313</f>
        <v>0</v>
      </c>
      <c r="L231" s="128">
        <f>L236+L240+L248+L260+L269+L273+L278+L283+L288+L293+L298+L303+L308+L313</f>
        <v>0</v>
      </c>
      <c r="M231" s="189"/>
      <c r="N231" s="187"/>
    </row>
    <row r="232" spans="1:14" ht="74.25" customHeight="1" x14ac:dyDescent="0.2">
      <c r="A232" s="241"/>
      <c r="B232" s="243"/>
      <c r="C232" s="186"/>
      <c r="D232" s="34" t="s">
        <v>91</v>
      </c>
      <c r="E232" s="189"/>
      <c r="F232" s="40">
        <f t="shared" ref="F232:L232" si="43">F261+F274+F279+F284+F289</f>
        <v>0</v>
      </c>
      <c r="G232" s="40">
        <f t="shared" si="43"/>
        <v>3120.4</v>
      </c>
      <c r="H232" s="40">
        <f t="shared" si="43"/>
        <v>3120.4</v>
      </c>
      <c r="I232" s="163">
        <f t="shared" si="43"/>
        <v>0</v>
      </c>
      <c r="J232" s="128">
        <f t="shared" si="43"/>
        <v>0</v>
      </c>
      <c r="K232" s="128">
        <f t="shared" si="43"/>
        <v>0</v>
      </c>
      <c r="L232" s="128">
        <f t="shared" si="43"/>
        <v>0</v>
      </c>
      <c r="M232" s="189"/>
      <c r="N232" s="187"/>
    </row>
    <row r="233" spans="1:14" ht="51" customHeight="1" x14ac:dyDescent="0.2">
      <c r="A233" s="241"/>
      <c r="B233" s="243"/>
      <c r="C233" s="186"/>
      <c r="D233" s="34" t="s">
        <v>82</v>
      </c>
      <c r="E233" s="189"/>
      <c r="F233" s="37">
        <f>F237+F241+F249+F262+F270+F275</f>
        <v>1417.5</v>
      </c>
      <c r="G233" s="37">
        <f>G237+G241+G249+G262+G270+G275</f>
        <v>82447.647299999997</v>
      </c>
      <c r="H233" s="40">
        <f>H237+H241+H249+H262+H270+H275+H280+H285+H290+H295+H300</f>
        <v>14356.013999999999</v>
      </c>
      <c r="I233" s="164">
        <f>I237+I241+I249+I262+I270+I275+I280+I285+I290+I295+I300+I305+I310+I315+I319+I324+I329</f>
        <v>46422.656179999998</v>
      </c>
      <c r="J233" s="128">
        <f>J237+J241+J249+J262+J270+J275+J280+J285+J290+J295+J300+J305+J310+J315</f>
        <v>17233.34</v>
      </c>
      <c r="K233" s="128">
        <f>K237+K241+K249+K262+K270+K275+K280+K285+K290+K295+K300+K305+K310+K315</f>
        <v>17233.34</v>
      </c>
      <c r="L233" s="128">
        <f>L237+L241+L249+L262+L270+L275+L280+L285+L290+L295+L300+L305+L310+L315</f>
        <v>17012</v>
      </c>
      <c r="M233" s="189"/>
      <c r="N233" s="187"/>
    </row>
    <row r="234" spans="1:14" ht="99.75" customHeight="1" x14ac:dyDescent="0.2">
      <c r="A234" s="241"/>
      <c r="B234" s="244"/>
      <c r="C234" s="186"/>
      <c r="D234" s="17" t="s">
        <v>29</v>
      </c>
      <c r="E234" s="189"/>
      <c r="F234" s="41"/>
      <c r="G234" s="41"/>
      <c r="H234" s="40"/>
      <c r="I234" s="163"/>
      <c r="J234" s="40"/>
      <c r="K234" s="40"/>
      <c r="L234" s="38"/>
      <c r="M234" s="189"/>
      <c r="N234" s="187"/>
    </row>
    <row r="235" spans="1:14" ht="54.75" customHeight="1" x14ac:dyDescent="0.2">
      <c r="A235" s="245" t="s">
        <v>118</v>
      </c>
      <c r="B235" s="191" t="s">
        <v>294</v>
      </c>
      <c r="C235" s="186" t="s">
        <v>105</v>
      </c>
      <c r="D235" s="44" t="s">
        <v>24</v>
      </c>
      <c r="E235" s="189" t="s">
        <v>55</v>
      </c>
      <c r="F235" s="46">
        <f>F236+F237+F238</f>
        <v>3806.3</v>
      </c>
      <c r="G235" s="46">
        <f>H235+I235+J235+K235+L235</f>
        <v>79892.687299999991</v>
      </c>
      <c r="H235" s="45">
        <f>H236+H237+H238</f>
        <v>12927.773999999999</v>
      </c>
      <c r="I235" s="166">
        <f>I236+I237+I238</f>
        <v>17673.713299999999</v>
      </c>
      <c r="J235" s="45">
        <f>J236+J237+J238</f>
        <v>16239.6</v>
      </c>
      <c r="K235" s="45">
        <f>K236+K237+K238</f>
        <v>16239.6</v>
      </c>
      <c r="L235" s="107">
        <f>L236+L237+L238</f>
        <v>16812</v>
      </c>
      <c r="M235" s="189" t="s">
        <v>26</v>
      </c>
      <c r="N235" s="187" t="s">
        <v>400</v>
      </c>
    </row>
    <row r="236" spans="1:14" ht="73.5" customHeight="1" x14ac:dyDescent="0.2">
      <c r="A236" s="245"/>
      <c r="B236" s="192"/>
      <c r="C236" s="186"/>
      <c r="D236" s="34" t="s">
        <v>90</v>
      </c>
      <c r="E236" s="189"/>
      <c r="F236" s="34">
        <v>3625</v>
      </c>
      <c r="G236" s="46">
        <f>H236+I236+J236+K236+L236</f>
        <v>0</v>
      </c>
      <c r="H236" s="45">
        <v>0</v>
      </c>
      <c r="I236" s="166">
        <v>0</v>
      </c>
      <c r="J236" s="45">
        <v>0</v>
      </c>
      <c r="K236" s="45">
        <v>0</v>
      </c>
      <c r="L236" s="90">
        <v>0</v>
      </c>
      <c r="M236" s="189"/>
      <c r="N236" s="187"/>
    </row>
    <row r="237" spans="1:14" ht="45" customHeight="1" x14ac:dyDescent="0.2">
      <c r="A237" s="245"/>
      <c r="B237" s="192"/>
      <c r="C237" s="186"/>
      <c r="D237" s="34" t="s">
        <v>82</v>
      </c>
      <c r="E237" s="189"/>
      <c r="F237" s="34">
        <v>181.3</v>
      </c>
      <c r="G237" s="46">
        <f>H237+I237+J237+K237+L237</f>
        <v>79892.687299999991</v>
      </c>
      <c r="H237" s="45">
        <f>12127.774+800</f>
        <v>12927.773999999999</v>
      </c>
      <c r="I237" s="167">
        <v>17673.713299999999</v>
      </c>
      <c r="J237" s="45">
        <v>16239.6</v>
      </c>
      <c r="K237" s="45">
        <v>16239.6</v>
      </c>
      <c r="L237" s="90">
        <v>16812</v>
      </c>
      <c r="M237" s="189"/>
      <c r="N237" s="187"/>
    </row>
    <row r="238" spans="1:14" ht="85.5" customHeight="1" x14ac:dyDescent="0.2">
      <c r="A238" s="245"/>
      <c r="B238" s="193"/>
      <c r="C238" s="186"/>
      <c r="D238" s="17" t="s">
        <v>29</v>
      </c>
      <c r="E238" s="189"/>
      <c r="F238" s="34"/>
      <c r="G238" s="46">
        <f>H238+I238+J238+K238+L238</f>
        <v>0</v>
      </c>
      <c r="H238" s="45">
        <v>0</v>
      </c>
      <c r="I238" s="166">
        <v>0</v>
      </c>
      <c r="J238" s="45">
        <v>0</v>
      </c>
      <c r="K238" s="45">
        <v>0</v>
      </c>
      <c r="L238" s="90">
        <v>0</v>
      </c>
      <c r="M238" s="189"/>
      <c r="N238" s="187"/>
    </row>
    <row r="239" spans="1:14" ht="33" customHeight="1" x14ac:dyDescent="0.2">
      <c r="A239" s="198" t="s">
        <v>122</v>
      </c>
      <c r="B239" s="186" t="s">
        <v>107</v>
      </c>
      <c r="C239" s="186" t="s">
        <v>106</v>
      </c>
      <c r="D239" s="17" t="s">
        <v>34</v>
      </c>
      <c r="E239" s="189" t="s">
        <v>55</v>
      </c>
      <c r="F239" s="34">
        <f t="shared" ref="F239:L239" si="44">F240+F241+F242</f>
        <v>200</v>
      </c>
      <c r="G239" s="34">
        <f t="shared" si="44"/>
        <v>300</v>
      </c>
      <c r="H239" s="45">
        <f t="shared" si="44"/>
        <v>0</v>
      </c>
      <c r="I239" s="168">
        <f t="shared" si="44"/>
        <v>0</v>
      </c>
      <c r="J239" s="110">
        <f>J240+J241+J242</f>
        <v>100</v>
      </c>
      <c r="K239" s="110">
        <f>K240+K241+K242</f>
        <v>100</v>
      </c>
      <c r="L239" s="108">
        <f t="shared" si="44"/>
        <v>100</v>
      </c>
      <c r="M239" s="189" t="s">
        <v>26</v>
      </c>
      <c r="N239" s="186" t="s">
        <v>108</v>
      </c>
    </row>
    <row r="240" spans="1:14" ht="86.25" customHeight="1" x14ac:dyDescent="0.2">
      <c r="A240" s="198"/>
      <c r="B240" s="186"/>
      <c r="C240" s="186"/>
      <c r="D240" s="34" t="s">
        <v>90</v>
      </c>
      <c r="E240" s="189"/>
      <c r="F240" s="34"/>
      <c r="G240" s="34"/>
      <c r="H240" s="45"/>
      <c r="I240" s="169"/>
      <c r="J240" s="111"/>
      <c r="K240" s="111"/>
      <c r="L240" s="109"/>
      <c r="M240" s="189"/>
      <c r="N240" s="186"/>
    </row>
    <row r="241" spans="1:14" ht="87" customHeight="1" x14ac:dyDescent="0.2">
      <c r="A241" s="198"/>
      <c r="B241" s="186"/>
      <c r="C241" s="186"/>
      <c r="D241" s="34" t="s">
        <v>82</v>
      </c>
      <c r="E241" s="189"/>
      <c r="F241" s="34">
        <f t="shared" ref="F241:L241" si="45">F245</f>
        <v>200</v>
      </c>
      <c r="G241" s="34">
        <f t="shared" si="45"/>
        <v>300</v>
      </c>
      <c r="H241" s="45">
        <f t="shared" si="45"/>
        <v>0</v>
      </c>
      <c r="I241" s="166">
        <f t="shared" si="45"/>
        <v>0</v>
      </c>
      <c r="J241" s="45">
        <f>J245</f>
        <v>100</v>
      </c>
      <c r="K241" s="45">
        <f>K245</f>
        <v>100</v>
      </c>
      <c r="L241" s="90">
        <f t="shared" si="45"/>
        <v>100</v>
      </c>
      <c r="M241" s="189"/>
      <c r="N241" s="186"/>
    </row>
    <row r="242" spans="1:14" ht="44.25" customHeight="1" x14ac:dyDescent="0.2">
      <c r="A242" s="198"/>
      <c r="B242" s="186"/>
      <c r="C242" s="186"/>
      <c r="D242" s="17" t="s">
        <v>29</v>
      </c>
      <c r="E242" s="189"/>
      <c r="F242" s="34"/>
      <c r="G242" s="34"/>
      <c r="H242" s="45"/>
      <c r="I242" s="169"/>
      <c r="J242" s="111"/>
      <c r="K242" s="111"/>
      <c r="L242" s="109"/>
      <c r="M242" s="189"/>
      <c r="N242" s="186"/>
    </row>
    <row r="243" spans="1:14" ht="54.75" customHeight="1" x14ac:dyDescent="0.2">
      <c r="A243" s="246" t="s">
        <v>242</v>
      </c>
      <c r="B243" s="186" t="s">
        <v>109</v>
      </c>
      <c r="C243" s="186" t="s">
        <v>106</v>
      </c>
      <c r="D243" s="34" t="s">
        <v>34</v>
      </c>
      <c r="E243" s="189" t="s">
        <v>55</v>
      </c>
      <c r="F243" s="34">
        <f t="shared" ref="F243:L243" si="46">F244+F245+F246</f>
        <v>200</v>
      </c>
      <c r="G243" s="34">
        <f t="shared" si="46"/>
        <v>300</v>
      </c>
      <c r="H243" s="45">
        <f t="shared" si="46"/>
        <v>0</v>
      </c>
      <c r="I243" s="166">
        <f t="shared" si="46"/>
        <v>0</v>
      </c>
      <c r="J243" s="45">
        <f>J244+J245+J246</f>
        <v>100</v>
      </c>
      <c r="K243" s="45">
        <f>K244+K245+K246</f>
        <v>100</v>
      </c>
      <c r="L243" s="90">
        <f t="shared" si="46"/>
        <v>100</v>
      </c>
      <c r="M243" s="189" t="s">
        <v>26</v>
      </c>
      <c r="N243" s="186" t="s">
        <v>108</v>
      </c>
    </row>
    <row r="244" spans="1:14" ht="67.5" customHeight="1" x14ac:dyDescent="0.2">
      <c r="A244" s="246"/>
      <c r="B244" s="186"/>
      <c r="C244" s="186"/>
      <c r="D244" s="34" t="s">
        <v>90</v>
      </c>
      <c r="E244" s="189"/>
      <c r="F244" s="34"/>
      <c r="G244" s="34"/>
      <c r="H244" s="45"/>
      <c r="I244" s="169"/>
      <c r="J244" s="111"/>
      <c r="K244" s="111"/>
      <c r="L244" s="109"/>
      <c r="M244" s="189"/>
      <c r="N244" s="186"/>
    </row>
    <row r="245" spans="1:14" ht="60" customHeight="1" x14ac:dyDescent="0.2">
      <c r="A245" s="246"/>
      <c r="B245" s="186"/>
      <c r="C245" s="186"/>
      <c r="D245" s="34" t="s">
        <v>82</v>
      </c>
      <c r="E245" s="189"/>
      <c r="F245" s="34">
        <v>200</v>
      </c>
      <c r="G245" s="34">
        <f>H245+I245+J245+K245+L245</f>
        <v>300</v>
      </c>
      <c r="H245" s="45">
        <f>100-100</f>
        <v>0</v>
      </c>
      <c r="I245" s="166">
        <v>0</v>
      </c>
      <c r="J245" s="45">
        <v>100</v>
      </c>
      <c r="K245" s="45">
        <v>100</v>
      </c>
      <c r="L245" s="90">
        <v>100</v>
      </c>
      <c r="M245" s="189"/>
      <c r="N245" s="186"/>
    </row>
    <row r="246" spans="1:14" ht="49.5" customHeight="1" x14ac:dyDescent="0.2">
      <c r="A246" s="246"/>
      <c r="B246" s="186"/>
      <c r="C246" s="186"/>
      <c r="D246" s="17" t="s">
        <v>29</v>
      </c>
      <c r="E246" s="189"/>
      <c r="F246" s="34"/>
      <c r="G246" s="34"/>
      <c r="H246" s="45"/>
      <c r="I246" s="169"/>
      <c r="J246" s="111"/>
      <c r="K246" s="111"/>
      <c r="L246" s="47"/>
      <c r="M246" s="189"/>
      <c r="N246" s="186"/>
    </row>
    <row r="247" spans="1:14" ht="39.75" customHeight="1" x14ac:dyDescent="0.2">
      <c r="A247" s="246" t="s">
        <v>125</v>
      </c>
      <c r="B247" s="186" t="s">
        <v>110</v>
      </c>
      <c r="C247" s="186" t="s">
        <v>111</v>
      </c>
      <c r="D247" s="17" t="s">
        <v>34</v>
      </c>
      <c r="E247" s="189" t="s">
        <v>55</v>
      </c>
      <c r="F247" s="46">
        <f t="shared" ref="F247:L247" si="47">F248+F249+F250</f>
        <v>0</v>
      </c>
      <c r="G247" s="46">
        <f t="shared" si="47"/>
        <v>400</v>
      </c>
      <c r="H247" s="45">
        <f t="shared" si="47"/>
        <v>0</v>
      </c>
      <c r="I247" s="168">
        <f t="shared" si="47"/>
        <v>1100</v>
      </c>
      <c r="J247" s="110">
        <f>J248+J249+J250</f>
        <v>100</v>
      </c>
      <c r="K247" s="110">
        <f>K248+K249+K250</f>
        <v>100</v>
      </c>
      <c r="L247" s="48">
        <f t="shared" si="47"/>
        <v>100</v>
      </c>
      <c r="M247" s="189" t="s">
        <v>26</v>
      </c>
      <c r="N247" s="186" t="s">
        <v>385</v>
      </c>
    </row>
    <row r="248" spans="1:14" ht="49.5" customHeight="1" x14ac:dyDescent="0.2">
      <c r="A248" s="246"/>
      <c r="B248" s="186"/>
      <c r="C248" s="186"/>
      <c r="D248" s="34" t="s">
        <v>90</v>
      </c>
      <c r="E248" s="189"/>
      <c r="F248" s="34"/>
      <c r="G248" s="34"/>
      <c r="H248" s="45"/>
      <c r="I248" s="169">
        <f>I252+I256</f>
        <v>1000</v>
      </c>
      <c r="J248" s="111"/>
      <c r="K248" s="111"/>
      <c r="L248" s="47"/>
      <c r="M248" s="189"/>
      <c r="N248" s="186"/>
    </row>
    <row r="249" spans="1:14" ht="49.5" customHeight="1" x14ac:dyDescent="0.2">
      <c r="A249" s="246"/>
      <c r="B249" s="186"/>
      <c r="C249" s="186"/>
      <c r="D249" s="34" t="s">
        <v>82</v>
      </c>
      <c r="E249" s="189"/>
      <c r="F249" s="46">
        <f t="shared" ref="F249:L249" si="48">F253</f>
        <v>0</v>
      </c>
      <c r="G249" s="46">
        <f t="shared" si="48"/>
        <v>400</v>
      </c>
      <c r="H249" s="45">
        <v>0</v>
      </c>
      <c r="I249" s="168">
        <f t="shared" si="48"/>
        <v>100</v>
      </c>
      <c r="J249" s="110">
        <f>J253</f>
        <v>100</v>
      </c>
      <c r="K249" s="110">
        <f>K253</f>
        <v>100</v>
      </c>
      <c r="L249" s="48">
        <f t="shared" si="48"/>
        <v>100</v>
      </c>
      <c r="M249" s="189"/>
      <c r="N249" s="186"/>
    </row>
    <row r="250" spans="1:14" ht="56.25" customHeight="1" x14ac:dyDescent="0.2">
      <c r="A250" s="246"/>
      <c r="B250" s="186"/>
      <c r="C250" s="186"/>
      <c r="D250" s="17" t="s">
        <v>29</v>
      </c>
      <c r="E250" s="189"/>
      <c r="F250" s="34"/>
      <c r="G250" s="34"/>
      <c r="H250" s="45"/>
      <c r="I250" s="169"/>
      <c r="J250" s="111"/>
      <c r="K250" s="111"/>
      <c r="L250" s="47"/>
      <c r="M250" s="189"/>
      <c r="N250" s="186"/>
    </row>
    <row r="251" spans="1:14" ht="41.25" customHeight="1" x14ac:dyDescent="0.35">
      <c r="A251" s="202" t="s">
        <v>243</v>
      </c>
      <c r="B251" s="186" t="s">
        <v>112</v>
      </c>
      <c r="C251" s="189" t="s">
        <v>54</v>
      </c>
      <c r="D251" s="34" t="s">
        <v>24</v>
      </c>
      <c r="E251" s="189" t="s">
        <v>25</v>
      </c>
      <c r="F251" s="43">
        <f t="shared" ref="F251:L251" si="49">F252+F253+F254</f>
        <v>0</v>
      </c>
      <c r="G251" s="43">
        <f t="shared" si="49"/>
        <v>400</v>
      </c>
      <c r="H251" s="43">
        <f t="shared" si="49"/>
        <v>0</v>
      </c>
      <c r="I251" s="165">
        <f t="shared" si="49"/>
        <v>100</v>
      </c>
      <c r="J251" s="43">
        <f>J252+J253+J254</f>
        <v>100</v>
      </c>
      <c r="K251" s="43">
        <f>K252+K253+K254</f>
        <v>100</v>
      </c>
      <c r="L251" s="43">
        <f t="shared" si="49"/>
        <v>100</v>
      </c>
      <c r="M251" s="189" t="s">
        <v>26</v>
      </c>
      <c r="N251" s="187" t="s">
        <v>386</v>
      </c>
    </row>
    <row r="252" spans="1:14" ht="73.5" customHeight="1" x14ac:dyDescent="0.35">
      <c r="A252" s="202"/>
      <c r="B252" s="186"/>
      <c r="C252" s="189"/>
      <c r="D252" s="34" t="s">
        <v>90</v>
      </c>
      <c r="E252" s="189"/>
      <c r="F252" s="43">
        <v>0</v>
      </c>
      <c r="G252" s="43">
        <v>0</v>
      </c>
      <c r="H252" s="43">
        <v>0</v>
      </c>
      <c r="I252" s="165">
        <v>0</v>
      </c>
      <c r="J252" s="43">
        <v>0</v>
      </c>
      <c r="K252" s="43">
        <v>0</v>
      </c>
      <c r="L252" s="43">
        <f>L260+L265</f>
        <v>0</v>
      </c>
      <c r="M252" s="189"/>
      <c r="N252" s="187"/>
    </row>
    <row r="253" spans="1:14" ht="50.25" customHeight="1" x14ac:dyDescent="0.35">
      <c r="A253" s="202"/>
      <c r="B253" s="186"/>
      <c r="C253" s="189"/>
      <c r="D253" s="34" t="s">
        <v>82</v>
      </c>
      <c r="E253" s="189"/>
      <c r="F253" s="43">
        <v>0</v>
      </c>
      <c r="G253" s="43">
        <f>H253+I253+J253+K253+L253</f>
        <v>400</v>
      </c>
      <c r="H253" s="43">
        <v>0</v>
      </c>
      <c r="I253" s="165">
        <f>200-100</f>
        <v>100</v>
      </c>
      <c r="J253" s="43">
        <v>100</v>
      </c>
      <c r="K253" s="43">
        <v>100</v>
      </c>
      <c r="L253" s="43">
        <v>100</v>
      </c>
      <c r="M253" s="189"/>
      <c r="N253" s="187"/>
    </row>
    <row r="254" spans="1:14" ht="72" customHeight="1" x14ac:dyDescent="0.35">
      <c r="A254" s="202"/>
      <c r="B254" s="186"/>
      <c r="C254" s="189"/>
      <c r="D254" s="17" t="s">
        <v>29</v>
      </c>
      <c r="E254" s="189"/>
      <c r="F254" s="43">
        <f t="shared" ref="F254:L254" si="50">F263+F267</f>
        <v>0</v>
      </c>
      <c r="G254" s="43">
        <f t="shared" si="50"/>
        <v>0</v>
      </c>
      <c r="H254" s="43">
        <f t="shared" si="50"/>
        <v>0</v>
      </c>
      <c r="I254" s="165">
        <f t="shared" si="50"/>
        <v>0</v>
      </c>
      <c r="J254" s="43">
        <f>J263+J267</f>
        <v>0</v>
      </c>
      <c r="K254" s="43">
        <f>K263+K267</f>
        <v>0</v>
      </c>
      <c r="L254" s="43">
        <f t="shared" si="50"/>
        <v>0</v>
      </c>
      <c r="M254" s="189"/>
      <c r="N254" s="187"/>
    </row>
    <row r="255" spans="1:14" s="139" customFormat="1" ht="41.25" customHeight="1" x14ac:dyDescent="0.35">
      <c r="A255" s="202" t="s">
        <v>384</v>
      </c>
      <c r="B255" s="186" t="s">
        <v>110</v>
      </c>
      <c r="C255" s="189" t="s">
        <v>54</v>
      </c>
      <c r="D255" s="138" t="s">
        <v>24</v>
      </c>
      <c r="E255" s="189" t="s">
        <v>25</v>
      </c>
      <c r="F255" s="129">
        <f>F256+F257+F258</f>
        <v>0</v>
      </c>
      <c r="G255" s="129">
        <v>0</v>
      </c>
      <c r="H255" s="129">
        <f>H256+H257+H258</f>
        <v>0</v>
      </c>
      <c r="I255" s="165">
        <f>I256+I257+I258</f>
        <v>1000</v>
      </c>
      <c r="J255" s="129">
        <f>J256+J257+J258</f>
        <v>0</v>
      </c>
      <c r="K255" s="129">
        <f>K256+K257+K258</f>
        <v>0</v>
      </c>
      <c r="L255" s="129">
        <f>L256+L257+L258</f>
        <v>0</v>
      </c>
      <c r="M255" s="189" t="s">
        <v>26</v>
      </c>
      <c r="N255" s="187" t="s">
        <v>386</v>
      </c>
    </row>
    <row r="256" spans="1:14" s="139" customFormat="1" ht="73.5" customHeight="1" x14ac:dyDescent="0.35">
      <c r="A256" s="202"/>
      <c r="B256" s="186"/>
      <c r="C256" s="189"/>
      <c r="D256" s="138" t="s">
        <v>90</v>
      </c>
      <c r="E256" s="189"/>
      <c r="F256" s="129">
        <v>0</v>
      </c>
      <c r="G256" s="129">
        <v>0</v>
      </c>
      <c r="H256" s="129">
        <v>0</v>
      </c>
      <c r="I256" s="165">
        <v>1000</v>
      </c>
      <c r="J256" s="129">
        <v>0</v>
      </c>
      <c r="K256" s="129">
        <v>0</v>
      </c>
      <c r="L256" s="129">
        <f>L264+L269</f>
        <v>0</v>
      </c>
      <c r="M256" s="189"/>
      <c r="N256" s="187"/>
    </row>
    <row r="257" spans="1:14" s="139" customFormat="1" ht="50.25" customHeight="1" x14ac:dyDescent="0.35">
      <c r="A257" s="202"/>
      <c r="B257" s="186"/>
      <c r="C257" s="189"/>
      <c r="D257" s="138" t="s">
        <v>82</v>
      </c>
      <c r="E257" s="189"/>
      <c r="F257" s="129">
        <v>0</v>
      </c>
      <c r="G257" s="129">
        <v>0</v>
      </c>
      <c r="H257" s="129">
        <v>0</v>
      </c>
      <c r="I257" s="165">
        <v>0</v>
      </c>
      <c r="J257" s="129">
        <v>0</v>
      </c>
      <c r="K257" s="129">
        <v>0</v>
      </c>
      <c r="L257" s="129">
        <v>0</v>
      </c>
      <c r="M257" s="189"/>
      <c r="N257" s="187"/>
    </row>
    <row r="258" spans="1:14" s="139" customFormat="1" ht="70.5" customHeight="1" x14ac:dyDescent="0.35">
      <c r="A258" s="202"/>
      <c r="B258" s="186"/>
      <c r="C258" s="189"/>
      <c r="D258" s="140" t="s">
        <v>29</v>
      </c>
      <c r="E258" s="189"/>
      <c r="F258" s="129">
        <f>F267+F271</f>
        <v>0</v>
      </c>
      <c r="G258" s="129">
        <f>G267+G271</f>
        <v>0</v>
      </c>
      <c r="H258" s="129">
        <v>0</v>
      </c>
      <c r="I258" s="165">
        <f>I267+I271</f>
        <v>0</v>
      </c>
      <c r="J258" s="129">
        <f>J267+J271</f>
        <v>0</v>
      </c>
      <c r="K258" s="129">
        <f>K267+K271</f>
        <v>0</v>
      </c>
      <c r="L258" s="129">
        <f>L267+L271</f>
        <v>0</v>
      </c>
      <c r="M258" s="189"/>
      <c r="N258" s="187"/>
    </row>
    <row r="259" spans="1:14" ht="51.75" customHeight="1" x14ac:dyDescent="0.35">
      <c r="A259" s="200" t="s">
        <v>129</v>
      </c>
      <c r="B259" s="191" t="s">
        <v>113</v>
      </c>
      <c r="C259" s="189" t="s">
        <v>105</v>
      </c>
      <c r="D259" s="44" t="s">
        <v>24</v>
      </c>
      <c r="E259" s="189" t="s">
        <v>55</v>
      </c>
      <c r="F259" s="49">
        <f t="shared" ref="F259:L259" si="51">F260+F261+F262+F263</f>
        <v>660</v>
      </c>
      <c r="G259" s="49">
        <f>H259+I259+J259+K259+L259</f>
        <v>1320</v>
      </c>
      <c r="H259" s="43">
        <f>H260+H261+H262+H263</f>
        <v>0</v>
      </c>
      <c r="I259" s="165">
        <f t="shared" si="51"/>
        <v>0</v>
      </c>
      <c r="J259" s="43">
        <f>J260+J261+J262+J263</f>
        <v>660</v>
      </c>
      <c r="K259" s="43">
        <f>K260+K261+K262+K263</f>
        <v>660</v>
      </c>
      <c r="L259" s="49">
        <f t="shared" si="51"/>
        <v>0</v>
      </c>
      <c r="M259" s="189" t="s">
        <v>26</v>
      </c>
      <c r="N259" s="187" t="s">
        <v>114</v>
      </c>
    </row>
    <row r="260" spans="1:14" ht="76.5" customHeight="1" x14ac:dyDescent="0.35">
      <c r="A260" s="200"/>
      <c r="B260" s="192"/>
      <c r="C260" s="189"/>
      <c r="D260" s="34" t="s">
        <v>90</v>
      </c>
      <c r="E260" s="189"/>
      <c r="F260" s="49"/>
      <c r="G260" s="49"/>
      <c r="H260" s="43"/>
      <c r="I260" s="165"/>
      <c r="J260" s="43"/>
      <c r="K260" s="43"/>
      <c r="L260" s="49"/>
      <c r="M260" s="189"/>
      <c r="N260" s="187"/>
    </row>
    <row r="261" spans="1:14" ht="67.5" customHeight="1" x14ac:dyDescent="0.35">
      <c r="A261" s="200"/>
      <c r="B261" s="192"/>
      <c r="C261" s="189"/>
      <c r="D261" s="34" t="s">
        <v>91</v>
      </c>
      <c r="E261" s="189"/>
      <c r="F261" s="49"/>
      <c r="G261" s="49"/>
      <c r="H261" s="43"/>
      <c r="I261" s="165"/>
      <c r="J261" s="43"/>
      <c r="K261" s="43"/>
      <c r="L261" s="49"/>
      <c r="M261" s="189"/>
      <c r="N261" s="187"/>
    </row>
    <row r="262" spans="1:14" ht="49.5" customHeight="1" x14ac:dyDescent="0.35">
      <c r="A262" s="200"/>
      <c r="B262" s="192"/>
      <c r="C262" s="189"/>
      <c r="D262" s="34" t="s">
        <v>82</v>
      </c>
      <c r="E262" s="189"/>
      <c r="F262" s="49">
        <v>660</v>
      </c>
      <c r="G262" s="49">
        <f>H262+I262+J262+K262+L262</f>
        <v>1320</v>
      </c>
      <c r="H262" s="43">
        <f>H266</f>
        <v>0</v>
      </c>
      <c r="I262" s="165">
        <f>I266</f>
        <v>0</v>
      </c>
      <c r="J262" s="43">
        <f>J266</f>
        <v>660</v>
      </c>
      <c r="K262" s="43">
        <f>K266</f>
        <v>660</v>
      </c>
      <c r="L262" s="49">
        <f>L266</f>
        <v>0</v>
      </c>
      <c r="M262" s="189"/>
      <c r="N262" s="187"/>
    </row>
    <row r="263" spans="1:14" ht="94.5" customHeight="1" x14ac:dyDescent="0.35">
      <c r="A263" s="200"/>
      <c r="B263" s="193"/>
      <c r="C263" s="189"/>
      <c r="D263" s="17" t="s">
        <v>29</v>
      </c>
      <c r="E263" s="189"/>
      <c r="F263" s="49"/>
      <c r="G263" s="49"/>
      <c r="H263" s="43"/>
      <c r="I263" s="165"/>
      <c r="J263" s="43"/>
      <c r="K263" s="43"/>
      <c r="L263" s="49"/>
      <c r="M263" s="189"/>
      <c r="N263" s="187"/>
    </row>
    <row r="264" spans="1:14" ht="42.75" customHeight="1" x14ac:dyDescent="0.2">
      <c r="A264" s="200" t="s">
        <v>244</v>
      </c>
      <c r="B264" s="186" t="s">
        <v>115</v>
      </c>
      <c r="C264" s="186" t="s">
        <v>105</v>
      </c>
      <c r="D264" s="44" t="s">
        <v>24</v>
      </c>
      <c r="E264" s="189" t="s">
        <v>55</v>
      </c>
      <c r="F264" s="46">
        <f t="shared" ref="F264:L264" si="52">F265+F266+F267</f>
        <v>660</v>
      </c>
      <c r="G264" s="46">
        <f t="shared" si="52"/>
        <v>1320</v>
      </c>
      <c r="H264" s="45">
        <f t="shared" si="52"/>
        <v>0</v>
      </c>
      <c r="I264" s="166">
        <f t="shared" si="52"/>
        <v>0</v>
      </c>
      <c r="J264" s="45">
        <f>J265+J266+J267</f>
        <v>660</v>
      </c>
      <c r="K264" s="45">
        <f>K265+K266+K267</f>
        <v>660</v>
      </c>
      <c r="L264" s="46">
        <f t="shared" si="52"/>
        <v>0</v>
      </c>
      <c r="M264" s="189" t="s">
        <v>26</v>
      </c>
      <c r="N264" s="187" t="s">
        <v>116</v>
      </c>
    </row>
    <row r="265" spans="1:14" ht="75.75" customHeight="1" x14ac:dyDescent="0.2">
      <c r="A265" s="200"/>
      <c r="B265" s="186"/>
      <c r="C265" s="186"/>
      <c r="D265" s="34" t="s">
        <v>90</v>
      </c>
      <c r="E265" s="189"/>
      <c r="F265" s="34"/>
      <c r="G265" s="34">
        <f>H265+I265+J265+K265+L265</f>
        <v>0</v>
      </c>
      <c r="H265" s="45"/>
      <c r="I265" s="166"/>
      <c r="J265" s="45"/>
      <c r="K265" s="45"/>
      <c r="L265" s="34"/>
      <c r="M265" s="189"/>
      <c r="N265" s="187"/>
    </row>
    <row r="266" spans="1:14" ht="54.75" customHeight="1" x14ac:dyDescent="0.2">
      <c r="A266" s="200"/>
      <c r="B266" s="186"/>
      <c r="C266" s="186"/>
      <c r="D266" s="34" t="s">
        <v>82</v>
      </c>
      <c r="E266" s="189"/>
      <c r="F266" s="34">
        <v>660</v>
      </c>
      <c r="G266" s="34">
        <f>H266+I266+J266+K266+L266</f>
        <v>1320</v>
      </c>
      <c r="H266" s="45">
        <v>0</v>
      </c>
      <c r="I266" s="166">
        <v>0</v>
      </c>
      <c r="J266" s="45">
        <v>660</v>
      </c>
      <c r="K266" s="45">
        <v>660</v>
      </c>
      <c r="L266" s="34"/>
      <c r="M266" s="189"/>
      <c r="N266" s="187"/>
    </row>
    <row r="267" spans="1:14" ht="51" customHeight="1" thickBot="1" x14ac:dyDescent="0.25">
      <c r="A267" s="200"/>
      <c r="B267" s="186"/>
      <c r="C267" s="186"/>
      <c r="D267" s="17" t="s">
        <v>29</v>
      </c>
      <c r="E267" s="189"/>
      <c r="F267" s="34"/>
      <c r="G267" s="34"/>
      <c r="H267" s="45"/>
      <c r="I267" s="166"/>
      <c r="J267" s="45"/>
      <c r="K267" s="45"/>
      <c r="L267" s="34"/>
      <c r="M267" s="189"/>
      <c r="N267" s="187"/>
    </row>
    <row r="268" spans="1:14" ht="38.25" customHeight="1" thickBot="1" x14ac:dyDescent="0.25">
      <c r="A268" s="250" t="s">
        <v>133</v>
      </c>
      <c r="B268" s="191" t="s">
        <v>258</v>
      </c>
      <c r="C268" s="208" t="s">
        <v>105</v>
      </c>
      <c r="D268" s="34" t="s">
        <v>24</v>
      </c>
      <c r="E268" s="187" t="s">
        <v>25</v>
      </c>
      <c r="F268" s="40">
        <f>F269+F270+F271</f>
        <v>368</v>
      </c>
      <c r="G268" s="40">
        <f>G269+G270</f>
        <v>0</v>
      </c>
      <c r="H268" s="40">
        <f>H269+H270</f>
        <v>0</v>
      </c>
      <c r="I268" s="163">
        <f>I269+I270+I271</f>
        <v>0</v>
      </c>
      <c r="J268" s="40">
        <f>J269+J270+J271</f>
        <v>0</v>
      </c>
      <c r="K268" s="40">
        <f>K269+K270+K271</f>
        <v>0</v>
      </c>
      <c r="L268" s="40">
        <f>L269+L270+L271</f>
        <v>0</v>
      </c>
      <c r="M268" s="208" t="s">
        <v>26</v>
      </c>
      <c r="N268" s="191" t="s">
        <v>259</v>
      </c>
    </row>
    <row r="269" spans="1:14" ht="44.25" customHeight="1" thickBot="1" x14ac:dyDescent="0.25">
      <c r="A269" s="250"/>
      <c r="B269" s="191"/>
      <c r="C269" s="208"/>
      <c r="D269" s="34" t="s">
        <v>27</v>
      </c>
      <c r="E269" s="187"/>
      <c r="F269" s="40">
        <v>193</v>
      </c>
      <c r="G269" s="40">
        <f>H269+I269+J269+K269+L269</f>
        <v>0</v>
      </c>
      <c r="H269" s="40">
        <v>0</v>
      </c>
      <c r="I269" s="163">
        <v>0</v>
      </c>
      <c r="J269" s="40">
        <v>0</v>
      </c>
      <c r="K269" s="40">
        <v>0</v>
      </c>
      <c r="L269" s="40"/>
      <c r="M269" s="208"/>
      <c r="N269" s="191"/>
    </row>
    <row r="270" spans="1:14" ht="47.25" customHeight="1" thickBot="1" x14ac:dyDescent="0.25">
      <c r="A270" s="250"/>
      <c r="B270" s="191"/>
      <c r="C270" s="208"/>
      <c r="D270" s="34" t="s">
        <v>82</v>
      </c>
      <c r="E270" s="187"/>
      <c r="F270" s="40">
        <v>175</v>
      </c>
      <c r="G270" s="40">
        <f>H270+I270+J270+K270+L270</f>
        <v>0</v>
      </c>
      <c r="H270" s="40">
        <v>0</v>
      </c>
      <c r="I270" s="163">
        <v>0</v>
      </c>
      <c r="J270" s="40">
        <v>0</v>
      </c>
      <c r="K270" s="40">
        <v>0</v>
      </c>
      <c r="L270" s="40"/>
      <c r="M270" s="208"/>
      <c r="N270" s="191"/>
    </row>
    <row r="271" spans="1:14" ht="215.25" customHeight="1" x14ac:dyDescent="0.2">
      <c r="A271" s="250"/>
      <c r="B271" s="191"/>
      <c r="C271" s="208"/>
      <c r="D271" s="42" t="s">
        <v>29</v>
      </c>
      <c r="E271" s="187"/>
      <c r="F271" s="50"/>
      <c r="G271" s="50"/>
      <c r="H271" s="247" t="s">
        <v>260</v>
      </c>
      <c r="I271" s="248"/>
      <c r="J271" s="248"/>
      <c r="K271" s="249"/>
      <c r="L271" s="50"/>
      <c r="M271" s="208"/>
      <c r="N271" s="191"/>
    </row>
    <row r="272" spans="1:14" ht="51.75" customHeight="1" x14ac:dyDescent="0.2">
      <c r="A272" s="200" t="s">
        <v>303</v>
      </c>
      <c r="B272" s="191" t="s">
        <v>302</v>
      </c>
      <c r="C272" s="189" t="s">
        <v>105</v>
      </c>
      <c r="D272" s="44" t="s">
        <v>24</v>
      </c>
      <c r="E272" s="189" t="s">
        <v>55</v>
      </c>
      <c r="F272" s="46">
        <f t="shared" ref="F272:L272" si="53">F273+F274+F275</f>
        <v>201.2</v>
      </c>
      <c r="G272" s="90">
        <f t="shared" si="53"/>
        <v>534.96</v>
      </c>
      <c r="H272" s="45">
        <f t="shared" si="53"/>
        <v>133.74</v>
      </c>
      <c r="I272" s="166">
        <f>I273+I274+I275</f>
        <v>133.74</v>
      </c>
      <c r="J272" s="45">
        <f>J273+J274+J275</f>
        <v>133.74</v>
      </c>
      <c r="K272" s="45">
        <f>K273+K274+K275</f>
        <v>133.74</v>
      </c>
      <c r="L272" s="46">
        <f t="shared" si="53"/>
        <v>0</v>
      </c>
      <c r="M272" s="189" t="s">
        <v>26</v>
      </c>
      <c r="N272" s="187" t="s">
        <v>304</v>
      </c>
    </row>
    <row r="273" spans="1:14" ht="76.5" customHeight="1" x14ac:dyDescent="0.2">
      <c r="A273" s="200"/>
      <c r="B273" s="192"/>
      <c r="C273" s="189"/>
      <c r="D273" s="34" t="s">
        <v>90</v>
      </c>
      <c r="E273" s="189"/>
      <c r="F273" s="34"/>
      <c r="G273" s="34">
        <f>H273+I273+J273+K273+L273</f>
        <v>0</v>
      </c>
      <c r="H273" s="45"/>
      <c r="I273" s="166"/>
      <c r="J273" s="45"/>
      <c r="K273" s="45"/>
      <c r="L273" s="34"/>
      <c r="M273" s="189"/>
      <c r="N273" s="187"/>
    </row>
    <row r="274" spans="1:14" ht="67.5" customHeight="1" x14ac:dyDescent="0.2">
      <c r="A274" s="200"/>
      <c r="B274" s="192"/>
      <c r="C274" s="189"/>
      <c r="D274" s="34" t="s">
        <v>91</v>
      </c>
      <c r="E274" s="189"/>
      <c r="F274" s="34"/>
      <c r="G274" s="34">
        <f>H274+I274+J274+K274+L274</f>
        <v>0</v>
      </c>
      <c r="H274" s="45"/>
      <c r="I274" s="166"/>
      <c r="J274" s="45"/>
      <c r="K274" s="45"/>
      <c r="L274" s="34">
        <v>0</v>
      </c>
      <c r="M274" s="189"/>
      <c r="N274" s="187"/>
    </row>
    <row r="275" spans="1:14" ht="49.5" customHeight="1" x14ac:dyDescent="0.2">
      <c r="A275" s="200"/>
      <c r="B275" s="192"/>
      <c r="C275" s="189"/>
      <c r="D275" s="34" t="s">
        <v>82</v>
      </c>
      <c r="E275" s="189"/>
      <c r="F275" s="34">
        <v>201.2</v>
      </c>
      <c r="G275" s="34">
        <f>H275+I275+J275+K275+L275</f>
        <v>534.96</v>
      </c>
      <c r="H275" s="45">
        <v>133.74</v>
      </c>
      <c r="I275" s="167">
        <v>133.74</v>
      </c>
      <c r="J275" s="45">
        <v>133.74</v>
      </c>
      <c r="K275" s="45">
        <v>133.74</v>
      </c>
      <c r="L275" s="34">
        <v>0</v>
      </c>
      <c r="M275" s="189"/>
      <c r="N275" s="187"/>
    </row>
    <row r="276" spans="1:14" ht="55.5" customHeight="1" x14ac:dyDescent="0.35">
      <c r="A276" s="200"/>
      <c r="B276" s="193"/>
      <c r="C276" s="189"/>
      <c r="D276" s="17" t="s">
        <v>29</v>
      </c>
      <c r="E276" s="189"/>
      <c r="F276" s="49"/>
      <c r="G276" s="49"/>
      <c r="H276" s="43"/>
      <c r="I276" s="165"/>
      <c r="J276" s="43"/>
      <c r="K276" s="43"/>
      <c r="L276" s="49"/>
      <c r="M276" s="189"/>
      <c r="N276" s="187"/>
    </row>
    <row r="277" spans="1:14" ht="51.75" customHeight="1" x14ac:dyDescent="0.2">
      <c r="A277" s="200" t="s">
        <v>305</v>
      </c>
      <c r="B277" s="191" t="s">
        <v>308</v>
      </c>
      <c r="C277" s="189" t="s">
        <v>306</v>
      </c>
      <c r="D277" s="44" t="s">
        <v>24</v>
      </c>
      <c r="E277" s="189" t="s">
        <v>55</v>
      </c>
      <c r="F277" s="46">
        <f t="shared" ref="F277:L277" si="54">F278+F279+F280</f>
        <v>0</v>
      </c>
      <c r="G277" s="90">
        <f t="shared" si="54"/>
        <v>1500</v>
      </c>
      <c r="H277" s="45">
        <f t="shared" si="54"/>
        <v>1500</v>
      </c>
      <c r="I277" s="166">
        <f t="shared" si="54"/>
        <v>0</v>
      </c>
      <c r="J277" s="45">
        <f>J278+J279+J280</f>
        <v>0</v>
      </c>
      <c r="K277" s="45">
        <f>K278+K279+K280</f>
        <v>0</v>
      </c>
      <c r="L277" s="46">
        <f t="shared" si="54"/>
        <v>0</v>
      </c>
      <c r="M277" s="189" t="s">
        <v>26</v>
      </c>
      <c r="N277" s="187" t="s">
        <v>307</v>
      </c>
    </row>
    <row r="278" spans="1:14" ht="69.75" customHeight="1" x14ac:dyDescent="0.2">
      <c r="A278" s="200"/>
      <c r="B278" s="192"/>
      <c r="C278" s="189"/>
      <c r="D278" s="34" t="s">
        <v>90</v>
      </c>
      <c r="E278" s="189"/>
      <c r="F278" s="34"/>
      <c r="G278" s="101">
        <f>H278+I278+J278+K278+L278</f>
        <v>1500</v>
      </c>
      <c r="H278" s="45">
        <v>1500</v>
      </c>
      <c r="I278" s="166">
        <v>0</v>
      </c>
      <c r="J278" s="45">
        <v>0</v>
      </c>
      <c r="K278" s="45">
        <v>0</v>
      </c>
      <c r="L278" s="101">
        <v>0</v>
      </c>
      <c r="M278" s="189"/>
      <c r="N278" s="187"/>
    </row>
    <row r="279" spans="1:14" ht="67.5" customHeight="1" x14ac:dyDescent="0.2">
      <c r="A279" s="200"/>
      <c r="B279" s="192"/>
      <c r="C279" s="189"/>
      <c r="D279" s="34" t="s">
        <v>91</v>
      </c>
      <c r="E279" s="189"/>
      <c r="F279" s="34">
        <v>0</v>
      </c>
      <c r="G279" s="34">
        <v>0</v>
      </c>
      <c r="H279" s="45">
        <v>0</v>
      </c>
      <c r="I279" s="166">
        <v>0</v>
      </c>
      <c r="J279" s="45">
        <v>0</v>
      </c>
      <c r="K279" s="45">
        <v>0</v>
      </c>
      <c r="L279" s="34">
        <v>0</v>
      </c>
      <c r="M279" s="189"/>
      <c r="N279" s="187"/>
    </row>
    <row r="280" spans="1:14" ht="49.5" customHeight="1" x14ac:dyDescent="0.2">
      <c r="A280" s="200"/>
      <c r="B280" s="192"/>
      <c r="C280" s="189"/>
      <c r="D280" s="34" t="s">
        <v>82</v>
      </c>
      <c r="E280" s="189"/>
      <c r="F280" s="34"/>
      <c r="G280" s="34"/>
      <c r="H280" s="45"/>
      <c r="I280" s="166"/>
      <c r="J280" s="45"/>
      <c r="K280" s="45"/>
      <c r="L280" s="34"/>
      <c r="M280" s="189"/>
      <c r="N280" s="187"/>
    </row>
    <row r="281" spans="1:14" ht="51.75" customHeight="1" x14ac:dyDescent="0.35">
      <c r="A281" s="200"/>
      <c r="B281" s="193"/>
      <c r="C281" s="189"/>
      <c r="D281" s="17" t="s">
        <v>29</v>
      </c>
      <c r="E281" s="189"/>
      <c r="F281" s="49"/>
      <c r="G281" s="49"/>
      <c r="H281" s="43"/>
      <c r="I281" s="165"/>
      <c r="J281" s="43"/>
      <c r="K281" s="43"/>
      <c r="L281" s="49"/>
      <c r="M281" s="189"/>
      <c r="N281" s="187"/>
    </row>
    <row r="282" spans="1:14" ht="51.75" customHeight="1" x14ac:dyDescent="0.2">
      <c r="A282" s="200" t="s">
        <v>318</v>
      </c>
      <c r="B282" s="191" t="s">
        <v>319</v>
      </c>
      <c r="C282" s="189" t="s">
        <v>306</v>
      </c>
      <c r="D282" s="44" t="s">
        <v>24</v>
      </c>
      <c r="E282" s="189" t="s">
        <v>55</v>
      </c>
      <c r="F282" s="46">
        <f t="shared" ref="F282:L282" si="55">F283+F284+F285</f>
        <v>0</v>
      </c>
      <c r="G282" s="90">
        <f t="shared" si="55"/>
        <v>4457.8</v>
      </c>
      <c r="H282" s="45">
        <f t="shared" si="55"/>
        <v>4591.5</v>
      </c>
      <c r="I282" s="166">
        <f t="shared" si="55"/>
        <v>0</v>
      </c>
      <c r="J282" s="45">
        <f>J283+J284+J285</f>
        <v>0</v>
      </c>
      <c r="K282" s="45">
        <f>K283+K284+K285</f>
        <v>0</v>
      </c>
      <c r="L282" s="46">
        <f t="shared" si="55"/>
        <v>0</v>
      </c>
      <c r="M282" s="189" t="s">
        <v>26</v>
      </c>
      <c r="N282" s="187" t="s">
        <v>304</v>
      </c>
    </row>
    <row r="283" spans="1:14" ht="76.5" customHeight="1" x14ac:dyDescent="0.2">
      <c r="A283" s="200"/>
      <c r="B283" s="192"/>
      <c r="C283" s="189"/>
      <c r="D283" s="34" t="s">
        <v>90</v>
      </c>
      <c r="E283" s="189"/>
      <c r="F283" s="34"/>
      <c r="G283" s="101">
        <f>H283+I283+J283+K283+L283</f>
        <v>1337.4</v>
      </c>
      <c r="H283" s="45">
        <v>1337.4</v>
      </c>
      <c r="I283" s="166">
        <v>0</v>
      </c>
      <c r="J283" s="45">
        <v>0</v>
      </c>
      <c r="K283" s="45">
        <v>0</v>
      </c>
      <c r="L283" s="101">
        <v>0</v>
      </c>
      <c r="M283" s="189"/>
      <c r="N283" s="187"/>
    </row>
    <row r="284" spans="1:14" ht="67.5" customHeight="1" x14ac:dyDescent="0.2">
      <c r="A284" s="200"/>
      <c r="B284" s="192"/>
      <c r="C284" s="189"/>
      <c r="D284" s="34" t="s">
        <v>91</v>
      </c>
      <c r="E284" s="189"/>
      <c r="F284" s="34">
        <v>0</v>
      </c>
      <c r="G284" s="101">
        <f>H284+I284+J284+K284+L284</f>
        <v>3120.4</v>
      </c>
      <c r="H284" s="45">
        <v>3120.4</v>
      </c>
      <c r="I284" s="166">
        <v>0</v>
      </c>
      <c r="J284" s="45">
        <v>0</v>
      </c>
      <c r="K284" s="45">
        <v>0</v>
      </c>
      <c r="L284" s="34">
        <v>0</v>
      </c>
      <c r="M284" s="189"/>
      <c r="N284" s="187"/>
    </row>
    <row r="285" spans="1:14" ht="49.5" customHeight="1" x14ac:dyDescent="0.2">
      <c r="A285" s="200"/>
      <c r="B285" s="192"/>
      <c r="C285" s="189"/>
      <c r="D285" s="34" t="s">
        <v>82</v>
      </c>
      <c r="E285" s="189"/>
      <c r="F285" s="34"/>
      <c r="G285" s="34"/>
      <c r="H285" s="45">
        <v>133.69999999999999</v>
      </c>
      <c r="I285" s="166"/>
      <c r="J285" s="45"/>
      <c r="K285" s="45"/>
      <c r="L285" s="34"/>
      <c r="M285" s="189"/>
      <c r="N285" s="187"/>
    </row>
    <row r="286" spans="1:14" ht="53.25" customHeight="1" x14ac:dyDescent="0.35">
      <c r="A286" s="200"/>
      <c r="B286" s="193"/>
      <c r="C286" s="189"/>
      <c r="D286" s="17" t="s">
        <v>29</v>
      </c>
      <c r="E286" s="189"/>
      <c r="F286" s="49"/>
      <c r="G286" s="49"/>
      <c r="H286" s="43"/>
      <c r="I286" s="165"/>
      <c r="J286" s="43"/>
      <c r="K286" s="43"/>
      <c r="L286" s="49"/>
      <c r="M286" s="189"/>
      <c r="N286" s="187"/>
    </row>
    <row r="287" spans="1:14" ht="51.75" customHeight="1" x14ac:dyDescent="0.2">
      <c r="A287" s="200" t="s">
        <v>321</v>
      </c>
      <c r="B287" s="191" t="s">
        <v>320</v>
      </c>
      <c r="C287" s="189" t="s">
        <v>306</v>
      </c>
      <c r="D287" s="44" t="s">
        <v>24</v>
      </c>
      <c r="E287" s="189" t="s">
        <v>55</v>
      </c>
      <c r="F287" s="46">
        <f t="shared" ref="F287:L287" si="56">F288+F289+F290</f>
        <v>0</v>
      </c>
      <c r="G287" s="90">
        <f t="shared" si="56"/>
        <v>300</v>
      </c>
      <c r="H287" s="45">
        <f t="shared" si="56"/>
        <v>300</v>
      </c>
      <c r="I287" s="166">
        <f t="shared" si="56"/>
        <v>0</v>
      </c>
      <c r="J287" s="45">
        <f>J288+J289+J290</f>
        <v>0</v>
      </c>
      <c r="K287" s="45">
        <f>K288+K289+K290</f>
        <v>0</v>
      </c>
      <c r="L287" s="46">
        <f t="shared" si="56"/>
        <v>0</v>
      </c>
      <c r="M287" s="189" t="s">
        <v>26</v>
      </c>
      <c r="N287" s="187" t="s">
        <v>307</v>
      </c>
    </row>
    <row r="288" spans="1:14" ht="76.5" customHeight="1" x14ac:dyDescent="0.2">
      <c r="A288" s="200"/>
      <c r="B288" s="192"/>
      <c r="C288" s="189"/>
      <c r="D288" s="34" t="s">
        <v>90</v>
      </c>
      <c r="E288" s="189"/>
      <c r="F288" s="34"/>
      <c r="G288" s="101">
        <f>H288+I288+J288+K288+L288</f>
        <v>0</v>
      </c>
      <c r="H288" s="45"/>
      <c r="I288" s="166">
        <v>0</v>
      </c>
      <c r="J288" s="45">
        <v>0</v>
      </c>
      <c r="K288" s="45">
        <v>0</v>
      </c>
      <c r="L288" s="101">
        <v>0</v>
      </c>
      <c r="M288" s="189"/>
      <c r="N288" s="187"/>
    </row>
    <row r="289" spans="1:17" ht="67.5" customHeight="1" x14ac:dyDescent="0.2">
      <c r="A289" s="200"/>
      <c r="B289" s="192"/>
      <c r="C289" s="189"/>
      <c r="D289" s="34" t="s">
        <v>91</v>
      </c>
      <c r="E289" s="189"/>
      <c r="F289" s="34">
        <v>0</v>
      </c>
      <c r="G289" s="101">
        <f>H289+I289+J289+K289+L289</f>
        <v>0</v>
      </c>
      <c r="H289" s="45">
        <v>0</v>
      </c>
      <c r="I289" s="166">
        <v>0</v>
      </c>
      <c r="J289" s="45">
        <v>0</v>
      </c>
      <c r="K289" s="45">
        <v>0</v>
      </c>
      <c r="L289" s="34">
        <v>0</v>
      </c>
      <c r="M289" s="189"/>
      <c r="N289" s="187"/>
    </row>
    <row r="290" spans="1:17" ht="49.5" customHeight="1" x14ac:dyDescent="0.2">
      <c r="A290" s="200"/>
      <c r="B290" s="192"/>
      <c r="C290" s="189"/>
      <c r="D290" s="34" t="s">
        <v>82</v>
      </c>
      <c r="E290" s="189"/>
      <c r="F290" s="34"/>
      <c r="G290" s="101">
        <f>H290+I290+J290+K290+L290</f>
        <v>300</v>
      </c>
      <c r="H290" s="45">
        <v>300</v>
      </c>
      <c r="I290" s="166">
        <v>0</v>
      </c>
      <c r="J290" s="45">
        <v>0</v>
      </c>
      <c r="K290" s="45">
        <v>0</v>
      </c>
      <c r="L290" s="46">
        <v>0</v>
      </c>
      <c r="M290" s="189"/>
      <c r="N290" s="187"/>
    </row>
    <row r="291" spans="1:17" ht="53.25" customHeight="1" x14ac:dyDescent="0.35">
      <c r="A291" s="200"/>
      <c r="B291" s="193"/>
      <c r="C291" s="189"/>
      <c r="D291" s="17" t="s">
        <v>29</v>
      </c>
      <c r="E291" s="189"/>
      <c r="F291" s="49"/>
      <c r="G291" s="49"/>
      <c r="H291" s="43"/>
      <c r="I291" s="165"/>
      <c r="J291" s="43"/>
      <c r="K291" s="43"/>
      <c r="L291" s="49"/>
      <c r="M291" s="189"/>
      <c r="N291" s="187"/>
    </row>
    <row r="292" spans="1:17" ht="51.75" customHeight="1" x14ac:dyDescent="0.2">
      <c r="A292" s="200" t="s">
        <v>326</v>
      </c>
      <c r="B292" s="191" t="s">
        <v>325</v>
      </c>
      <c r="C292" s="186" t="s">
        <v>120</v>
      </c>
      <c r="D292" s="44" t="s">
        <v>24</v>
      </c>
      <c r="E292" s="189" t="s">
        <v>55</v>
      </c>
      <c r="F292" s="46">
        <f t="shared" ref="F292:L292" si="57">F293+F294+F295</f>
        <v>0</v>
      </c>
      <c r="G292" s="90">
        <f t="shared" si="57"/>
        <v>1250</v>
      </c>
      <c r="H292" s="45">
        <f t="shared" si="57"/>
        <v>650</v>
      </c>
      <c r="I292" s="166">
        <f t="shared" si="57"/>
        <v>600</v>
      </c>
      <c r="J292" s="45">
        <f>J293+J294+J295</f>
        <v>0</v>
      </c>
      <c r="K292" s="45">
        <f>K293+K294+K295</f>
        <v>0</v>
      </c>
      <c r="L292" s="46">
        <f t="shared" si="57"/>
        <v>0</v>
      </c>
      <c r="M292" s="189" t="s">
        <v>26</v>
      </c>
      <c r="N292" s="187" t="s">
        <v>327</v>
      </c>
    </row>
    <row r="293" spans="1:17" ht="69" customHeight="1" x14ac:dyDescent="0.2">
      <c r="A293" s="200"/>
      <c r="B293" s="192"/>
      <c r="C293" s="186"/>
      <c r="D293" s="34" t="s">
        <v>90</v>
      </c>
      <c r="E293" s="189"/>
      <c r="F293" s="34"/>
      <c r="G293" s="101">
        <f>H293+I293+J293+K293+L293</f>
        <v>0</v>
      </c>
      <c r="H293" s="45"/>
      <c r="I293" s="166">
        <v>0</v>
      </c>
      <c r="J293" s="45">
        <v>0</v>
      </c>
      <c r="K293" s="45">
        <v>0</v>
      </c>
      <c r="L293" s="101">
        <v>0</v>
      </c>
      <c r="M293" s="189"/>
      <c r="N293" s="187"/>
    </row>
    <row r="294" spans="1:17" ht="67.5" customHeight="1" x14ac:dyDescent="0.2">
      <c r="A294" s="200"/>
      <c r="B294" s="192"/>
      <c r="C294" s="186"/>
      <c r="D294" s="34" t="s">
        <v>91</v>
      </c>
      <c r="E294" s="189"/>
      <c r="F294" s="34">
        <v>0</v>
      </c>
      <c r="G294" s="101">
        <f>H294+I294+J294+K294+L294</f>
        <v>0</v>
      </c>
      <c r="H294" s="45">
        <v>0</v>
      </c>
      <c r="I294" s="166">
        <v>0</v>
      </c>
      <c r="J294" s="45">
        <v>0</v>
      </c>
      <c r="K294" s="45">
        <v>0</v>
      </c>
      <c r="L294" s="34">
        <v>0</v>
      </c>
      <c r="M294" s="189"/>
      <c r="N294" s="187"/>
    </row>
    <row r="295" spans="1:17" ht="49.5" customHeight="1" x14ac:dyDescent="0.2">
      <c r="A295" s="200"/>
      <c r="B295" s="192"/>
      <c r="C295" s="186"/>
      <c r="D295" s="34" t="s">
        <v>82</v>
      </c>
      <c r="E295" s="189"/>
      <c r="F295" s="34"/>
      <c r="G295" s="101">
        <f>H295+I295+J295+K295+L295</f>
        <v>1250</v>
      </c>
      <c r="H295" s="45">
        <f>413+237</f>
        <v>650</v>
      </c>
      <c r="I295" s="166">
        <v>600</v>
      </c>
      <c r="J295" s="45">
        <v>0</v>
      </c>
      <c r="K295" s="45">
        <v>0</v>
      </c>
      <c r="L295" s="46">
        <v>0</v>
      </c>
      <c r="M295" s="189"/>
      <c r="N295" s="187"/>
    </row>
    <row r="296" spans="1:17" ht="48" customHeight="1" x14ac:dyDescent="0.35">
      <c r="A296" s="200"/>
      <c r="B296" s="193"/>
      <c r="C296" s="186"/>
      <c r="D296" s="17" t="s">
        <v>29</v>
      </c>
      <c r="E296" s="189"/>
      <c r="F296" s="49"/>
      <c r="G296" s="49"/>
      <c r="H296" s="43"/>
      <c r="I296" s="165"/>
      <c r="J296" s="43"/>
      <c r="K296" s="43"/>
      <c r="L296" s="49"/>
      <c r="M296" s="189"/>
      <c r="N296" s="187"/>
    </row>
    <row r="297" spans="1:17" ht="42.75" customHeight="1" x14ac:dyDescent="0.2">
      <c r="A297" s="198" t="s">
        <v>330</v>
      </c>
      <c r="B297" s="191" t="s">
        <v>328</v>
      </c>
      <c r="C297" s="186" t="s">
        <v>131</v>
      </c>
      <c r="D297" s="42" t="s">
        <v>34</v>
      </c>
      <c r="E297" s="187" t="s">
        <v>55</v>
      </c>
      <c r="F297" s="34"/>
      <c r="G297" s="34">
        <f>H297+I297+J297+K297+L297</f>
        <v>210.8</v>
      </c>
      <c r="H297" s="45">
        <f>H298+H299+H300+H301</f>
        <v>210.8</v>
      </c>
      <c r="I297" s="166">
        <f>I298+I299+I300+I301</f>
        <v>0</v>
      </c>
      <c r="J297" s="45">
        <f>J298+J299+J300+J301</f>
        <v>0</v>
      </c>
      <c r="K297" s="45">
        <f>K298+K299+K300+K301</f>
        <v>0</v>
      </c>
      <c r="L297" s="34">
        <f>L298+L299+L300+L301</f>
        <v>0</v>
      </c>
      <c r="M297" s="189" t="s">
        <v>26</v>
      </c>
      <c r="N297" s="191" t="s">
        <v>329</v>
      </c>
    </row>
    <row r="298" spans="1:17" ht="72.75" customHeight="1" x14ac:dyDescent="0.2">
      <c r="A298" s="198"/>
      <c r="B298" s="192"/>
      <c r="C298" s="199"/>
      <c r="D298" s="34" t="s">
        <v>27</v>
      </c>
      <c r="E298" s="187"/>
      <c r="F298" s="34"/>
      <c r="G298" s="34"/>
      <c r="H298" s="45"/>
      <c r="I298" s="166"/>
      <c r="J298" s="45"/>
      <c r="K298" s="45"/>
      <c r="L298" s="34"/>
      <c r="M298" s="189"/>
      <c r="N298" s="192"/>
    </row>
    <row r="299" spans="1:17" ht="72.75" customHeight="1" x14ac:dyDescent="0.2">
      <c r="A299" s="198"/>
      <c r="B299" s="192"/>
      <c r="C299" s="199"/>
      <c r="D299" s="34" t="s">
        <v>91</v>
      </c>
      <c r="E299" s="187"/>
      <c r="F299" s="34"/>
      <c r="G299" s="34"/>
      <c r="H299" s="45"/>
      <c r="I299" s="166"/>
      <c r="J299" s="45"/>
      <c r="K299" s="45"/>
      <c r="L299" s="34"/>
      <c r="M299" s="189"/>
      <c r="N299" s="192"/>
    </row>
    <row r="300" spans="1:17" ht="50.25" customHeight="1" x14ac:dyDescent="0.2">
      <c r="A300" s="198"/>
      <c r="B300" s="192"/>
      <c r="C300" s="199"/>
      <c r="D300" s="34" t="s">
        <v>82</v>
      </c>
      <c r="E300" s="187"/>
      <c r="F300" s="34"/>
      <c r="G300" s="34">
        <f>H300+I300+J300+K300+L300</f>
        <v>210.8</v>
      </c>
      <c r="H300" s="45">
        <v>210.8</v>
      </c>
      <c r="I300" s="166"/>
      <c r="J300" s="45"/>
      <c r="K300" s="45"/>
      <c r="L300" s="34"/>
      <c r="M300" s="189"/>
      <c r="N300" s="192"/>
    </row>
    <row r="301" spans="1:17" ht="53.25" customHeight="1" x14ac:dyDescent="0.2">
      <c r="A301" s="198"/>
      <c r="B301" s="193"/>
      <c r="C301" s="199"/>
      <c r="D301" s="42" t="s">
        <v>29</v>
      </c>
      <c r="E301" s="187"/>
      <c r="F301" s="34"/>
      <c r="G301" s="34"/>
      <c r="H301" s="45"/>
      <c r="I301" s="166"/>
      <c r="J301" s="45"/>
      <c r="K301" s="45"/>
      <c r="L301" s="34"/>
      <c r="M301" s="189"/>
      <c r="N301" s="193"/>
    </row>
    <row r="302" spans="1:17" ht="42.75" customHeight="1" x14ac:dyDescent="0.2">
      <c r="A302" s="198" t="s">
        <v>331</v>
      </c>
      <c r="B302" s="191" t="s">
        <v>332</v>
      </c>
      <c r="C302" s="186" t="s">
        <v>131</v>
      </c>
      <c r="D302" s="42" t="s">
        <v>34</v>
      </c>
      <c r="E302" s="187" t="s">
        <v>55</v>
      </c>
      <c r="F302" s="34"/>
      <c r="G302" s="34"/>
      <c r="H302" s="45"/>
      <c r="I302" s="166">
        <f>I305</f>
        <v>22862.048999999999</v>
      </c>
      <c r="J302" s="45">
        <f>J303+J304+J305+J306</f>
        <v>0</v>
      </c>
      <c r="K302" s="45">
        <f>K303+K304+K305+K306</f>
        <v>0</v>
      </c>
      <c r="L302" s="34">
        <f>L303+L304+L305+L306</f>
        <v>0</v>
      </c>
      <c r="M302" s="189" t="s">
        <v>26</v>
      </c>
      <c r="N302" s="191" t="s">
        <v>333</v>
      </c>
    </row>
    <row r="303" spans="1:17" ht="72.75" customHeight="1" x14ac:dyDescent="0.2">
      <c r="A303" s="198"/>
      <c r="B303" s="192"/>
      <c r="C303" s="199"/>
      <c r="D303" s="34" t="s">
        <v>27</v>
      </c>
      <c r="E303" s="187"/>
      <c r="F303" s="34"/>
      <c r="G303" s="34"/>
      <c r="H303" s="45"/>
      <c r="I303" s="166"/>
      <c r="J303" s="45"/>
      <c r="K303" s="45"/>
      <c r="L303" s="34"/>
      <c r="M303" s="189"/>
      <c r="N303" s="192"/>
      <c r="Q303" s="191"/>
    </row>
    <row r="304" spans="1:17" ht="72.75" customHeight="1" x14ac:dyDescent="0.2">
      <c r="A304" s="198"/>
      <c r="B304" s="192"/>
      <c r="C304" s="199"/>
      <c r="D304" s="34" t="s">
        <v>91</v>
      </c>
      <c r="E304" s="187"/>
      <c r="F304" s="34"/>
      <c r="G304" s="34"/>
      <c r="H304" s="45"/>
      <c r="I304" s="166"/>
      <c r="J304" s="45"/>
      <c r="K304" s="45"/>
      <c r="L304" s="34"/>
      <c r="M304" s="189"/>
      <c r="N304" s="192"/>
      <c r="Q304" s="192"/>
    </row>
    <row r="305" spans="1:17" ht="50.25" customHeight="1" x14ac:dyDescent="0.2">
      <c r="A305" s="198"/>
      <c r="B305" s="192"/>
      <c r="C305" s="199"/>
      <c r="D305" s="34" t="s">
        <v>82</v>
      </c>
      <c r="E305" s="187"/>
      <c r="F305" s="34"/>
      <c r="G305" s="34"/>
      <c r="H305" s="45"/>
      <c r="I305" s="167">
        <f>27000-4137.951</f>
        <v>22862.048999999999</v>
      </c>
      <c r="J305" s="45"/>
      <c r="K305" s="45"/>
      <c r="L305" s="34"/>
      <c r="M305" s="189"/>
      <c r="N305" s="192"/>
      <c r="Q305" s="192"/>
    </row>
    <row r="306" spans="1:17" ht="53.25" customHeight="1" x14ac:dyDescent="0.2">
      <c r="A306" s="198"/>
      <c r="B306" s="193"/>
      <c r="C306" s="199"/>
      <c r="D306" s="42" t="s">
        <v>29</v>
      </c>
      <c r="E306" s="187"/>
      <c r="F306" s="34"/>
      <c r="G306" s="34"/>
      <c r="H306" s="45"/>
      <c r="I306" s="166"/>
      <c r="J306" s="45"/>
      <c r="K306" s="45"/>
      <c r="L306" s="34"/>
      <c r="M306" s="189"/>
      <c r="N306" s="193"/>
      <c r="Q306" s="192"/>
    </row>
    <row r="307" spans="1:17" ht="42.75" customHeight="1" x14ac:dyDescent="0.2">
      <c r="A307" s="198" t="s">
        <v>352</v>
      </c>
      <c r="B307" s="191" t="s">
        <v>353</v>
      </c>
      <c r="C307" s="186" t="s">
        <v>131</v>
      </c>
      <c r="D307" s="42" t="s">
        <v>34</v>
      </c>
      <c r="E307" s="187" t="s">
        <v>55</v>
      </c>
      <c r="F307" s="34"/>
      <c r="G307" s="34"/>
      <c r="H307" s="45"/>
      <c r="I307" s="166">
        <f>I310</f>
        <v>2082</v>
      </c>
      <c r="J307" s="45">
        <f>J308+J309+J310+J311</f>
        <v>0</v>
      </c>
      <c r="K307" s="45">
        <f>K308+K309+K310+K311</f>
        <v>0</v>
      </c>
      <c r="L307" s="34">
        <f>L308+L309+L310+L311</f>
        <v>0</v>
      </c>
      <c r="M307" s="189" t="s">
        <v>26</v>
      </c>
      <c r="N307" s="191" t="s">
        <v>354</v>
      </c>
      <c r="Q307" s="193"/>
    </row>
    <row r="308" spans="1:17" ht="72.75" customHeight="1" x14ac:dyDescent="0.2">
      <c r="A308" s="198"/>
      <c r="B308" s="192"/>
      <c r="C308" s="199"/>
      <c r="D308" s="34" t="s">
        <v>27</v>
      </c>
      <c r="E308" s="187"/>
      <c r="F308" s="34"/>
      <c r="G308" s="34"/>
      <c r="H308" s="45"/>
      <c r="I308" s="166"/>
      <c r="J308" s="45"/>
      <c r="K308" s="45"/>
      <c r="L308" s="34"/>
      <c r="M308" s="189"/>
      <c r="N308" s="192"/>
    </row>
    <row r="309" spans="1:17" ht="72.75" customHeight="1" x14ac:dyDescent="0.2">
      <c r="A309" s="198"/>
      <c r="B309" s="192"/>
      <c r="C309" s="199"/>
      <c r="D309" s="34" t="s">
        <v>91</v>
      </c>
      <c r="E309" s="187"/>
      <c r="F309" s="34"/>
      <c r="G309" s="34"/>
      <c r="H309" s="45"/>
      <c r="I309" s="166"/>
      <c r="J309" s="45"/>
      <c r="K309" s="45"/>
      <c r="L309" s="34"/>
      <c r="M309" s="189"/>
      <c r="N309" s="192"/>
    </row>
    <row r="310" spans="1:17" ht="50.25" customHeight="1" x14ac:dyDescent="0.2">
      <c r="A310" s="198"/>
      <c r="B310" s="192"/>
      <c r="C310" s="199"/>
      <c r="D310" s="34" t="s">
        <v>82</v>
      </c>
      <c r="E310" s="187"/>
      <c r="F310" s="34"/>
      <c r="G310" s="34"/>
      <c r="H310" s="45"/>
      <c r="I310" s="166">
        <f>2082</f>
        <v>2082</v>
      </c>
      <c r="J310" s="45"/>
      <c r="K310" s="45"/>
      <c r="L310" s="34"/>
      <c r="M310" s="189"/>
      <c r="N310" s="192"/>
    </row>
    <row r="311" spans="1:17" ht="53.25" customHeight="1" x14ac:dyDescent="0.2">
      <c r="A311" s="198"/>
      <c r="B311" s="193"/>
      <c r="C311" s="199"/>
      <c r="D311" s="42" t="s">
        <v>29</v>
      </c>
      <c r="E311" s="187"/>
      <c r="F311" s="34"/>
      <c r="G311" s="34"/>
      <c r="H311" s="45"/>
      <c r="I311" s="166"/>
      <c r="J311" s="45"/>
      <c r="K311" s="45"/>
      <c r="L311" s="34"/>
      <c r="M311" s="189"/>
      <c r="N311" s="193"/>
    </row>
    <row r="312" spans="1:17" ht="42.75" customHeight="1" x14ac:dyDescent="0.2">
      <c r="A312" s="198" t="s">
        <v>355</v>
      </c>
      <c r="B312" s="191" t="s">
        <v>356</v>
      </c>
      <c r="C312" s="186" t="s">
        <v>131</v>
      </c>
      <c r="D312" s="42" t="s">
        <v>34</v>
      </c>
      <c r="E312" s="187" t="s">
        <v>55</v>
      </c>
      <c r="F312" s="34"/>
      <c r="G312" s="34"/>
      <c r="H312" s="45"/>
      <c r="I312" s="166">
        <f>I315</f>
        <v>1200</v>
      </c>
      <c r="J312" s="45">
        <f>J313+J314+J315+J316</f>
        <v>0</v>
      </c>
      <c r="K312" s="45">
        <f>K313+K314+K315+K316</f>
        <v>0</v>
      </c>
      <c r="L312" s="34">
        <f>L313+L314+L315+L316</f>
        <v>0</v>
      </c>
      <c r="M312" s="189" t="s">
        <v>26</v>
      </c>
      <c r="N312" s="191" t="s">
        <v>357</v>
      </c>
    </row>
    <row r="313" spans="1:17" ht="72.75" customHeight="1" x14ac:dyDescent="0.2">
      <c r="A313" s="198"/>
      <c r="B313" s="192"/>
      <c r="C313" s="199"/>
      <c r="D313" s="34" t="s">
        <v>27</v>
      </c>
      <c r="E313" s="187"/>
      <c r="F313" s="34"/>
      <c r="G313" s="34"/>
      <c r="H313" s="45"/>
      <c r="I313" s="166"/>
      <c r="J313" s="45"/>
      <c r="K313" s="45"/>
      <c r="L313" s="34"/>
      <c r="M313" s="189"/>
      <c r="N313" s="192"/>
    </row>
    <row r="314" spans="1:17" ht="72.75" customHeight="1" x14ac:dyDescent="0.2">
      <c r="A314" s="198"/>
      <c r="B314" s="192"/>
      <c r="C314" s="199"/>
      <c r="D314" s="34" t="s">
        <v>91</v>
      </c>
      <c r="E314" s="187"/>
      <c r="F314" s="34"/>
      <c r="G314" s="34"/>
      <c r="H314" s="45"/>
      <c r="I314" s="166"/>
      <c r="J314" s="45"/>
      <c r="K314" s="45"/>
      <c r="L314" s="34"/>
      <c r="M314" s="189"/>
      <c r="N314" s="192"/>
    </row>
    <row r="315" spans="1:17" ht="50.25" customHeight="1" x14ac:dyDescent="0.2">
      <c r="A315" s="198"/>
      <c r="B315" s="192"/>
      <c r="C315" s="199"/>
      <c r="D315" s="34" t="s">
        <v>82</v>
      </c>
      <c r="E315" s="187"/>
      <c r="F315" s="34"/>
      <c r="G315" s="34"/>
      <c r="H315" s="45"/>
      <c r="I315" s="166">
        <v>1200</v>
      </c>
      <c r="J315" s="45"/>
      <c r="K315" s="45"/>
      <c r="L315" s="34"/>
      <c r="M315" s="189"/>
      <c r="N315" s="192"/>
    </row>
    <row r="316" spans="1:17" ht="53.25" customHeight="1" x14ac:dyDescent="0.2">
      <c r="A316" s="198"/>
      <c r="B316" s="193"/>
      <c r="C316" s="199"/>
      <c r="D316" s="42" t="s">
        <v>29</v>
      </c>
      <c r="E316" s="187"/>
      <c r="F316" s="34"/>
      <c r="G316" s="34"/>
      <c r="H316" s="130"/>
      <c r="I316" s="166"/>
      <c r="J316" s="45"/>
      <c r="K316" s="45"/>
      <c r="L316" s="34"/>
      <c r="M316" s="189"/>
      <c r="N316" s="193"/>
    </row>
    <row r="317" spans="1:17" s="139" customFormat="1" ht="45.75" customHeight="1" x14ac:dyDescent="0.2">
      <c r="A317" s="198" t="s">
        <v>396</v>
      </c>
      <c r="B317" s="191" t="s">
        <v>403</v>
      </c>
      <c r="C317" s="186" t="s">
        <v>131</v>
      </c>
      <c r="D317" s="143" t="s">
        <v>34</v>
      </c>
      <c r="E317" s="187" t="s">
        <v>55</v>
      </c>
      <c r="F317" s="137">
        <f t="shared" ref="F317:L317" si="58">F318+F319+F320</f>
        <v>0</v>
      </c>
      <c r="G317" s="137">
        <f t="shared" si="58"/>
        <v>0</v>
      </c>
      <c r="H317" s="137">
        <f t="shared" si="58"/>
        <v>0</v>
      </c>
      <c r="I317" s="148">
        <f t="shared" si="58"/>
        <v>47.843879999999999</v>
      </c>
      <c r="J317" s="137">
        <f t="shared" si="58"/>
        <v>0</v>
      </c>
      <c r="K317" s="137">
        <f t="shared" si="58"/>
        <v>0</v>
      </c>
      <c r="L317" s="137">
        <f t="shared" si="58"/>
        <v>0</v>
      </c>
      <c r="M317" s="189" t="s">
        <v>26</v>
      </c>
      <c r="N317" s="191" t="s">
        <v>395</v>
      </c>
    </row>
    <row r="318" spans="1:17" s="139" customFormat="1" ht="68.25" customHeight="1" x14ac:dyDescent="0.2">
      <c r="A318" s="198"/>
      <c r="B318" s="192"/>
      <c r="C318" s="199"/>
      <c r="D318" s="143" t="s">
        <v>27</v>
      </c>
      <c r="E318" s="187"/>
      <c r="F318" s="142"/>
      <c r="G318" s="142"/>
      <c r="H318" s="137"/>
      <c r="I318" s="148"/>
      <c r="J318" s="142"/>
      <c r="K318" s="142"/>
      <c r="L318" s="142"/>
      <c r="M318" s="189"/>
      <c r="N318" s="192"/>
    </row>
    <row r="319" spans="1:17" s="139" customFormat="1" ht="52.5" customHeight="1" x14ac:dyDescent="0.2">
      <c r="A319" s="198"/>
      <c r="B319" s="192"/>
      <c r="C319" s="199"/>
      <c r="D319" s="143" t="s">
        <v>28</v>
      </c>
      <c r="E319" s="187"/>
      <c r="F319" s="142"/>
      <c r="G319" s="142"/>
      <c r="H319" s="137"/>
      <c r="I319" s="173">
        <v>47.843879999999999</v>
      </c>
      <c r="J319" s="142"/>
      <c r="K319" s="142"/>
      <c r="L319" s="142"/>
      <c r="M319" s="189"/>
      <c r="N319" s="192"/>
    </row>
    <row r="320" spans="1:17" s="139" customFormat="1" ht="43.5" customHeight="1" x14ac:dyDescent="0.2">
      <c r="A320" s="198"/>
      <c r="B320" s="192"/>
      <c r="C320" s="199"/>
      <c r="D320" s="143" t="s">
        <v>29</v>
      </c>
      <c r="E320" s="187"/>
      <c r="F320" s="142"/>
      <c r="G320" s="142"/>
      <c r="H320" s="137"/>
      <c r="I320" s="154"/>
      <c r="J320" s="142"/>
      <c r="K320" s="142"/>
      <c r="L320" s="142"/>
      <c r="M320" s="189"/>
      <c r="N320" s="192"/>
    </row>
    <row r="321" spans="1:14" ht="53.25" customHeight="1" x14ac:dyDescent="0.2">
      <c r="A321" s="198"/>
      <c r="B321" s="193"/>
      <c r="C321" s="199"/>
      <c r="D321" s="42" t="s">
        <v>29</v>
      </c>
      <c r="E321" s="187"/>
      <c r="F321" s="34"/>
      <c r="G321" s="34"/>
      <c r="H321" s="130"/>
      <c r="I321" s="166"/>
      <c r="J321" s="45"/>
      <c r="K321" s="45"/>
      <c r="L321" s="34"/>
      <c r="M321" s="189"/>
      <c r="N321" s="193"/>
    </row>
    <row r="322" spans="1:14" s="139" customFormat="1" ht="45.75" customHeight="1" x14ac:dyDescent="0.2">
      <c r="A322" s="198" t="s">
        <v>401</v>
      </c>
      <c r="B322" s="191" t="s">
        <v>404</v>
      </c>
      <c r="C322" s="186" t="s">
        <v>131</v>
      </c>
      <c r="D322" s="144" t="s">
        <v>34</v>
      </c>
      <c r="E322" s="187" t="s">
        <v>55</v>
      </c>
      <c r="F322" s="137">
        <f t="shared" ref="F322:L322" si="59">F323+F324+F325</f>
        <v>0</v>
      </c>
      <c r="G322" s="137">
        <f t="shared" si="59"/>
        <v>0</v>
      </c>
      <c r="H322" s="137">
        <f t="shared" si="59"/>
        <v>0</v>
      </c>
      <c r="I322" s="155">
        <f t="shared" si="59"/>
        <v>1523.31</v>
      </c>
      <c r="J322" s="137">
        <f t="shared" si="59"/>
        <v>0</v>
      </c>
      <c r="K322" s="137">
        <f t="shared" si="59"/>
        <v>0</v>
      </c>
      <c r="L322" s="137">
        <f t="shared" si="59"/>
        <v>0</v>
      </c>
      <c r="M322" s="189" t="s">
        <v>26</v>
      </c>
      <c r="N322" s="191" t="s">
        <v>405</v>
      </c>
    </row>
    <row r="323" spans="1:14" s="139" customFormat="1" ht="68.25" customHeight="1" x14ac:dyDescent="0.2">
      <c r="A323" s="198"/>
      <c r="B323" s="192"/>
      <c r="C323" s="199"/>
      <c r="D323" s="144" t="s">
        <v>27</v>
      </c>
      <c r="E323" s="187"/>
      <c r="F323" s="142"/>
      <c r="G323" s="142"/>
      <c r="H323" s="137"/>
      <c r="I323" s="155"/>
      <c r="J323" s="142"/>
      <c r="K323" s="142"/>
      <c r="L323" s="142"/>
      <c r="M323" s="189"/>
      <c r="N323" s="192"/>
    </row>
    <row r="324" spans="1:14" s="139" customFormat="1" ht="52.5" customHeight="1" x14ac:dyDescent="0.2">
      <c r="A324" s="198"/>
      <c r="B324" s="192"/>
      <c r="C324" s="199"/>
      <c r="D324" s="144" t="s">
        <v>28</v>
      </c>
      <c r="E324" s="187"/>
      <c r="F324" s="142"/>
      <c r="G324" s="142"/>
      <c r="H324" s="137"/>
      <c r="I324" s="173">
        <v>1523.31</v>
      </c>
      <c r="J324" s="142"/>
      <c r="K324" s="142"/>
      <c r="L324" s="142"/>
      <c r="M324" s="189"/>
      <c r="N324" s="192"/>
    </row>
    <row r="325" spans="1:14" s="139" customFormat="1" ht="43.5" customHeight="1" x14ac:dyDescent="0.2">
      <c r="A325" s="198"/>
      <c r="B325" s="192"/>
      <c r="C325" s="199"/>
      <c r="D325" s="144" t="s">
        <v>29</v>
      </c>
      <c r="E325" s="187"/>
      <c r="F325" s="142"/>
      <c r="G325" s="142"/>
      <c r="H325" s="137"/>
      <c r="I325" s="154"/>
      <c r="J325" s="142"/>
      <c r="K325" s="142"/>
      <c r="L325" s="142"/>
      <c r="M325" s="189"/>
      <c r="N325" s="192"/>
    </row>
    <row r="326" spans="1:14" ht="53.25" customHeight="1" x14ac:dyDescent="0.2">
      <c r="A326" s="198"/>
      <c r="B326" s="193"/>
      <c r="C326" s="199"/>
      <c r="D326" s="42" t="s">
        <v>29</v>
      </c>
      <c r="E326" s="187"/>
      <c r="F326" s="34"/>
      <c r="G326" s="34"/>
      <c r="H326" s="130"/>
      <c r="I326" s="166"/>
      <c r="J326" s="45"/>
      <c r="K326" s="45"/>
      <c r="L326" s="34"/>
      <c r="M326" s="189"/>
      <c r="N326" s="193"/>
    </row>
    <row r="327" spans="1:14" s="139" customFormat="1" ht="45.75" customHeight="1" x14ac:dyDescent="0.2">
      <c r="A327" s="198" t="s">
        <v>402</v>
      </c>
      <c r="B327" s="191" t="s">
        <v>406</v>
      </c>
      <c r="C327" s="186" t="s">
        <v>131</v>
      </c>
      <c r="D327" s="144" t="s">
        <v>34</v>
      </c>
      <c r="E327" s="187" t="s">
        <v>55</v>
      </c>
      <c r="F327" s="137">
        <f t="shared" ref="F327:L327" si="60">F328+F329+F330</f>
        <v>0</v>
      </c>
      <c r="G327" s="137">
        <f t="shared" si="60"/>
        <v>0</v>
      </c>
      <c r="H327" s="137">
        <f t="shared" si="60"/>
        <v>0</v>
      </c>
      <c r="I327" s="155">
        <f t="shared" si="60"/>
        <v>200</v>
      </c>
      <c r="J327" s="137">
        <f t="shared" si="60"/>
        <v>0</v>
      </c>
      <c r="K327" s="137">
        <f t="shared" si="60"/>
        <v>0</v>
      </c>
      <c r="L327" s="137">
        <f t="shared" si="60"/>
        <v>0</v>
      </c>
      <c r="M327" s="189" t="s">
        <v>26</v>
      </c>
      <c r="N327" s="191" t="s">
        <v>406</v>
      </c>
    </row>
    <row r="328" spans="1:14" s="139" customFormat="1" ht="68.25" customHeight="1" x14ac:dyDescent="0.2">
      <c r="A328" s="198"/>
      <c r="B328" s="192"/>
      <c r="C328" s="199"/>
      <c r="D328" s="144" t="s">
        <v>27</v>
      </c>
      <c r="E328" s="187"/>
      <c r="F328" s="142"/>
      <c r="G328" s="142"/>
      <c r="H328" s="137"/>
      <c r="I328" s="155"/>
      <c r="J328" s="142"/>
      <c r="K328" s="142"/>
      <c r="L328" s="142"/>
      <c r="M328" s="189"/>
      <c r="N328" s="192"/>
    </row>
    <row r="329" spans="1:14" s="139" customFormat="1" ht="52.5" customHeight="1" x14ac:dyDescent="0.2">
      <c r="A329" s="198"/>
      <c r="B329" s="192"/>
      <c r="C329" s="199"/>
      <c r="D329" s="144" t="s">
        <v>28</v>
      </c>
      <c r="E329" s="187"/>
      <c r="F329" s="142"/>
      <c r="G329" s="142"/>
      <c r="H329" s="137"/>
      <c r="I329" s="155">
        <v>200</v>
      </c>
      <c r="J329" s="142"/>
      <c r="K329" s="142"/>
      <c r="L329" s="142"/>
      <c r="M329" s="189"/>
      <c r="N329" s="192"/>
    </row>
    <row r="330" spans="1:14" s="139" customFormat="1" ht="43.5" customHeight="1" x14ac:dyDescent="0.2">
      <c r="A330" s="198"/>
      <c r="B330" s="192"/>
      <c r="C330" s="199"/>
      <c r="D330" s="144" t="s">
        <v>29</v>
      </c>
      <c r="E330" s="187"/>
      <c r="F330" s="142"/>
      <c r="G330" s="142"/>
      <c r="H330" s="137"/>
      <c r="I330" s="154"/>
      <c r="J330" s="142"/>
      <c r="K330" s="142"/>
      <c r="L330" s="142"/>
      <c r="M330" s="189"/>
      <c r="N330" s="192"/>
    </row>
    <row r="331" spans="1:14" ht="53.25" customHeight="1" x14ac:dyDescent="0.2">
      <c r="A331" s="198"/>
      <c r="B331" s="193"/>
      <c r="C331" s="199"/>
      <c r="D331" s="42" t="s">
        <v>29</v>
      </c>
      <c r="E331" s="187"/>
      <c r="F331" s="34"/>
      <c r="G331" s="34"/>
      <c r="H331" s="130"/>
      <c r="I331" s="166"/>
      <c r="J331" s="45"/>
      <c r="K331" s="45"/>
      <c r="L331" s="34"/>
      <c r="M331" s="189"/>
      <c r="N331" s="193"/>
    </row>
    <row r="332" spans="1:14" ht="42" customHeight="1" x14ac:dyDescent="0.2">
      <c r="A332" s="251" t="s">
        <v>83</v>
      </c>
      <c r="B332" s="191" t="s">
        <v>358</v>
      </c>
      <c r="C332" s="186" t="s">
        <v>120</v>
      </c>
      <c r="D332" s="34" t="s">
        <v>24</v>
      </c>
      <c r="E332" s="187" t="s">
        <v>55</v>
      </c>
      <c r="F332" s="40">
        <f t="shared" ref="F332:L332" si="61">F333+F334+F335+F336</f>
        <v>3212</v>
      </c>
      <c r="G332" s="40">
        <f t="shared" si="61"/>
        <v>18886</v>
      </c>
      <c r="H332" s="128">
        <f t="shared" si="61"/>
        <v>2899</v>
      </c>
      <c r="I332" s="163">
        <f t="shared" si="61"/>
        <v>3425</v>
      </c>
      <c r="J332" s="128">
        <f t="shared" si="61"/>
        <v>3425</v>
      </c>
      <c r="K332" s="128">
        <f t="shared" si="61"/>
        <v>3425</v>
      </c>
      <c r="L332" s="128">
        <f t="shared" si="61"/>
        <v>5712</v>
      </c>
      <c r="M332" s="189" t="s">
        <v>26</v>
      </c>
      <c r="N332" s="187" t="s">
        <v>359</v>
      </c>
    </row>
    <row r="333" spans="1:14" ht="70.5" customHeight="1" x14ac:dyDescent="0.2">
      <c r="A333" s="251"/>
      <c r="B333" s="192"/>
      <c r="C333" s="186"/>
      <c r="D333" s="34" t="s">
        <v>27</v>
      </c>
      <c r="E333" s="187"/>
      <c r="F333" s="34"/>
      <c r="G333" s="34"/>
      <c r="H333" s="130"/>
      <c r="I333" s="166"/>
      <c r="J333" s="130"/>
      <c r="K333" s="130"/>
      <c r="L333" s="131"/>
      <c r="M333" s="189"/>
      <c r="N333" s="187"/>
    </row>
    <row r="334" spans="1:14" ht="72" customHeight="1" x14ac:dyDescent="0.2">
      <c r="A334" s="251"/>
      <c r="B334" s="192"/>
      <c r="C334" s="186"/>
      <c r="D334" s="34" t="s">
        <v>91</v>
      </c>
      <c r="E334" s="187"/>
      <c r="F334" s="34"/>
      <c r="G334" s="34"/>
      <c r="H334" s="130"/>
      <c r="I334" s="166"/>
      <c r="J334" s="130"/>
      <c r="K334" s="130"/>
      <c r="L334" s="131"/>
      <c r="M334" s="189"/>
      <c r="N334" s="187"/>
    </row>
    <row r="335" spans="1:14" ht="45.75" customHeight="1" x14ac:dyDescent="0.2">
      <c r="A335" s="251"/>
      <c r="B335" s="192"/>
      <c r="C335" s="186"/>
      <c r="D335" s="34" t="s">
        <v>82</v>
      </c>
      <c r="E335" s="187"/>
      <c r="F335" s="130">
        <f t="shared" ref="F335:L335" si="62">F340+F345+F350+F355+F360+F365+F370</f>
        <v>3212</v>
      </c>
      <c r="G335" s="130">
        <f t="shared" si="62"/>
        <v>18886</v>
      </c>
      <c r="H335" s="130">
        <f t="shared" si="62"/>
        <v>2899</v>
      </c>
      <c r="I335" s="166">
        <f t="shared" si="62"/>
        <v>3425</v>
      </c>
      <c r="J335" s="130">
        <f t="shared" si="62"/>
        <v>3425</v>
      </c>
      <c r="K335" s="130">
        <f t="shared" si="62"/>
        <v>3425</v>
      </c>
      <c r="L335" s="130">
        <f t="shared" si="62"/>
        <v>5712</v>
      </c>
      <c r="M335" s="189"/>
      <c r="N335" s="187"/>
    </row>
    <row r="336" spans="1:14" ht="49.5" customHeight="1" x14ac:dyDescent="0.2">
      <c r="A336" s="251"/>
      <c r="B336" s="193"/>
      <c r="C336" s="186"/>
      <c r="D336" s="42" t="s">
        <v>29</v>
      </c>
      <c r="E336" s="187"/>
      <c r="F336" s="34"/>
      <c r="G336" s="34"/>
      <c r="H336" s="130"/>
      <c r="I336" s="166"/>
      <c r="J336" s="130"/>
      <c r="K336" s="130"/>
      <c r="L336" s="131"/>
      <c r="M336" s="189"/>
      <c r="N336" s="187"/>
    </row>
    <row r="337" spans="1:14" ht="42" customHeight="1" x14ac:dyDescent="0.2">
      <c r="A337" s="200" t="s">
        <v>138</v>
      </c>
      <c r="B337" s="191" t="s">
        <v>119</v>
      </c>
      <c r="C337" s="186" t="s">
        <v>120</v>
      </c>
      <c r="D337" s="34" t="s">
        <v>24</v>
      </c>
      <c r="E337" s="187" t="s">
        <v>55</v>
      </c>
      <c r="F337" s="40">
        <f t="shared" ref="F337:L337" si="63">F338+F339+F340+F341</f>
        <v>700</v>
      </c>
      <c r="G337" s="40">
        <f>G338+G339+G340+G341</f>
        <v>5600</v>
      </c>
      <c r="H337" s="40">
        <f t="shared" si="63"/>
        <v>700</v>
      </c>
      <c r="I337" s="163">
        <f t="shared" si="63"/>
        <v>700</v>
      </c>
      <c r="J337" s="128">
        <f t="shared" si="63"/>
        <v>700</v>
      </c>
      <c r="K337" s="128">
        <f t="shared" si="63"/>
        <v>700</v>
      </c>
      <c r="L337" s="128">
        <f t="shared" si="63"/>
        <v>2800</v>
      </c>
      <c r="M337" s="189" t="s">
        <v>26</v>
      </c>
      <c r="N337" s="187" t="s">
        <v>121</v>
      </c>
    </row>
    <row r="338" spans="1:14" ht="70.5" customHeight="1" x14ac:dyDescent="0.2">
      <c r="A338" s="200"/>
      <c r="B338" s="192"/>
      <c r="C338" s="186"/>
      <c r="D338" s="34" t="s">
        <v>27</v>
      </c>
      <c r="E338" s="187"/>
      <c r="F338" s="34"/>
      <c r="G338" s="34"/>
      <c r="H338" s="45"/>
      <c r="I338" s="166"/>
      <c r="J338" s="45"/>
      <c r="K338" s="45"/>
      <c r="L338" s="34"/>
      <c r="M338" s="189"/>
      <c r="N338" s="187"/>
    </row>
    <row r="339" spans="1:14" ht="72" customHeight="1" x14ac:dyDescent="0.2">
      <c r="A339" s="200"/>
      <c r="B339" s="192"/>
      <c r="C339" s="186"/>
      <c r="D339" s="34" t="s">
        <v>91</v>
      </c>
      <c r="E339" s="187"/>
      <c r="F339" s="34"/>
      <c r="G339" s="34"/>
      <c r="H339" s="45"/>
      <c r="I339" s="166"/>
      <c r="J339" s="45"/>
      <c r="K339" s="45"/>
      <c r="L339" s="34"/>
      <c r="M339" s="189"/>
      <c r="N339" s="187"/>
    </row>
    <row r="340" spans="1:14" ht="45.75" customHeight="1" x14ac:dyDescent="0.2">
      <c r="A340" s="200"/>
      <c r="B340" s="192"/>
      <c r="C340" s="186"/>
      <c r="D340" s="34" t="s">
        <v>82</v>
      </c>
      <c r="E340" s="187"/>
      <c r="F340" s="34">
        <v>700</v>
      </c>
      <c r="G340" s="34">
        <f>H340+I340+J340+K340+L340</f>
        <v>5600</v>
      </c>
      <c r="H340" s="45">
        <v>700</v>
      </c>
      <c r="I340" s="166">
        <v>700</v>
      </c>
      <c r="J340" s="45">
        <v>700</v>
      </c>
      <c r="K340" s="45">
        <v>700</v>
      </c>
      <c r="L340" s="34">
        <v>2800</v>
      </c>
      <c r="M340" s="189"/>
      <c r="N340" s="187"/>
    </row>
    <row r="341" spans="1:14" ht="49.5" customHeight="1" x14ac:dyDescent="0.2">
      <c r="A341" s="200"/>
      <c r="B341" s="193"/>
      <c r="C341" s="186"/>
      <c r="D341" s="42" t="s">
        <v>29</v>
      </c>
      <c r="E341" s="187"/>
      <c r="F341" s="34"/>
      <c r="G341" s="34"/>
      <c r="H341" s="45"/>
      <c r="I341" s="166"/>
      <c r="J341" s="45"/>
      <c r="K341" s="45"/>
      <c r="L341" s="34"/>
      <c r="M341" s="189"/>
      <c r="N341" s="187"/>
    </row>
    <row r="342" spans="1:14" ht="47.25" customHeight="1" x14ac:dyDescent="0.2">
      <c r="A342" s="200" t="s">
        <v>245</v>
      </c>
      <c r="B342" s="191" t="s">
        <v>123</v>
      </c>
      <c r="C342" s="186" t="s">
        <v>124</v>
      </c>
      <c r="D342" s="34" t="s">
        <v>24</v>
      </c>
      <c r="E342" s="187" t="s">
        <v>55</v>
      </c>
      <c r="F342" s="40">
        <f t="shared" ref="F342:L342" si="64">F343+F344+F345+F346</f>
        <v>800</v>
      </c>
      <c r="G342" s="40">
        <f t="shared" si="64"/>
        <v>4000</v>
      </c>
      <c r="H342" s="40">
        <f t="shared" si="64"/>
        <v>800</v>
      </c>
      <c r="I342" s="163">
        <f t="shared" si="64"/>
        <v>800</v>
      </c>
      <c r="J342" s="40">
        <f>J343+J344+J345+J346</f>
        <v>800</v>
      </c>
      <c r="K342" s="40">
        <f>K343+K344+K345+K346</f>
        <v>800</v>
      </c>
      <c r="L342" s="40">
        <f t="shared" si="64"/>
        <v>800</v>
      </c>
      <c r="M342" s="189" t="s">
        <v>26</v>
      </c>
      <c r="N342" s="187" t="s">
        <v>227</v>
      </c>
    </row>
    <row r="343" spans="1:14" ht="47.25" customHeight="1" x14ac:dyDescent="0.2">
      <c r="A343" s="200"/>
      <c r="B343" s="192"/>
      <c r="C343" s="186"/>
      <c r="D343" s="34" t="s">
        <v>27</v>
      </c>
      <c r="E343" s="187"/>
      <c r="F343" s="34"/>
      <c r="G343" s="34"/>
      <c r="H343" s="45"/>
      <c r="I343" s="166"/>
      <c r="J343" s="45"/>
      <c r="K343" s="45"/>
      <c r="L343" s="34"/>
      <c r="M343" s="189"/>
      <c r="N343" s="187"/>
    </row>
    <row r="344" spans="1:14" ht="74.25" customHeight="1" x14ac:dyDescent="0.2">
      <c r="A344" s="200"/>
      <c r="B344" s="192"/>
      <c r="C344" s="186"/>
      <c r="D344" s="34" t="s">
        <v>91</v>
      </c>
      <c r="E344" s="187"/>
      <c r="F344" s="34"/>
      <c r="G344" s="34"/>
      <c r="H344" s="45"/>
      <c r="I344" s="166"/>
      <c r="J344" s="45"/>
      <c r="K344" s="45"/>
      <c r="L344" s="34"/>
      <c r="M344" s="189"/>
      <c r="N344" s="187"/>
    </row>
    <row r="345" spans="1:14" ht="48.75" customHeight="1" x14ac:dyDescent="0.2">
      <c r="A345" s="200"/>
      <c r="B345" s="192"/>
      <c r="C345" s="186"/>
      <c r="D345" s="34" t="s">
        <v>82</v>
      </c>
      <c r="E345" s="187"/>
      <c r="F345" s="34">
        <v>800</v>
      </c>
      <c r="G345" s="34">
        <f>H345+I345+J345+K345+L345</f>
        <v>4000</v>
      </c>
      <c r="H345" s="45">
        <v>800</v>
      </c>
      <c r="I345" s="166">
        <v>800</v>
      </c>
      <c r="J345" s="45">
        <v>800</v>
      </c>
      <c r="K345" s="45">
        <v>800</v>
      </c>
      <c r="L345" s="34">
        <v>800</v>
      </c>
      <c r="M345" s="189"/>
      <c r="N345" s="187"/>
    </row>
    <row r="346" spans="1:14" ht="48" customHeight="1" x14ac:dyDescent="0.2">
      <c r="A346" s="200"/>
      <c r="B346" s="193"/>
      <c r="C346" s="186"/>
      <c r="D346" s="42" t="s">
        <v>29</v>
      </c>
      <c r="E346" s="187"/>
      <c r="F346" s="34"/>
      <c r="G346" s="34"/>
      <c r="H346" s="45"/>
      <c r="I346" s="166"/>
      <c r="J346" s="45"/>
      <c r="K346" s="45"/>
      <c r="L346" s="34"/>
      <c r="M346" s="189"/>
      <c r="N346" s="187"/>
    </row>
    <row r="347" spans="1:14" ht="33.75" customHeight="1" x14ac:dyDescent="0.2">
      <c r="A347" s="200" t="s">
        <v>246</v>
      </c>
      <c r="B347" s="186" t="s">
        <v>126</v>
      </c>
      <c r="C347" s="186" t="s">
        <v>127</v>
      </c>
      <c r="D347" s="34" t="s">
        <v>24</v>
      </c>
      <c r="E347" s="187" t="s">
        <v>55</v>
      </c>
      <c r="F347" s="40">
        <f t="shared" ref="F347:L347" si="65">F348+F349+F350+F351</f>
        <v>1000</v>
      </c>
      <c r="G347" s="40">
        <f t="shared" si="65"/>
        <v>4659</v>
      </c>
      <c r="H347" s="40">
        <f t="shared" si="65"/>
        <v>839</v>
      </c>
      <c r="I347" s="163">
        <f t="shared" si="65"/>
        <v>940</v>
      </c>
      <c r="J347" s="40">
        <f>J348+J349+J350+J351</f>
        <v>940</v>
      </c>
      <c r="K347" s="40">
        <f>K348+K349+K350+K351</f>
        <v>940</v>
      </c>
      <c r="L347" s="40">
        <f t="shared" si="65"/>
        <v>1000</v>
      </c>
      <c r="M347" s="189" t="s">
        <v>26</v>
      </c>
      <c r="N347" s="187" t="s">
        <v>128</v>
      </c>
    </row>
    <row r="348" spans="1:14" ht="72" customHeight="1" x14ac:dyDescent="0.2">
      <c r="A348" s="200"/>
      <c r="B348" s="186"/>
      <c r="C348" s="186"/>
      <c r="D348" s="34" t="s">
        <v>27</v>
      </c>
      <c r="E348" s="187"/>
      <c r="F348" s="34"/>
      <c r="G348" s="34"/>
      <c r="H348" s="45"/>
      <c r="I348" s="166"/>
      <c r="J348" s="45"/>
      <c r="K348" s="45"/>
      <c r="L348" s="34"/>
      <c r="M348" s="189"/>
      <c r="N348" s="187"/>
    </row>
    <row r="349" spans="1:14" ht="68.25" customHeight="1" x14ac:dyDescent="0.2">
      <c r="A349" s="200"/>
      <c r="B349" s="186"/>
      <c r="C349" s="186"/>
      <c r="D349" s="34" t="s">
        <v>91</v>
      </c>
      <c r="E349" s="187"/>
      <c r="F349" s="34"/>
      <c r="G349" s="34"/>
      <c r="H349" s="45"/>
      <c r="I349" s="166"/>
      <c r="J349" s="45"/>
      <c r="K349" s="45"/>
      <c r="L349" s="34"/>
      <c r="M349" s="189"/>
      <c r="N349" s="187"/>
    </row>
    <row r="350" spans="1:14" ht="45.75" customHeight="1" x14ac:dyDescent="0.2">
      <c r="A350" s="200"/>
      <c r="B350" s="186"/>
      <c r="C350" s="186"/>
      <c r="D350" s="34" t="s">
        <v>82</v>
      </c>
      <c r="E350" s="187"/>
      <c r="F350" s="34">
        <v>1000</v>
      </c>
      <c r="G350" s="34">
        <f>H350+I350+J350+K350+L350</f>
        <v>4659</v>
      </c>
      <c r="H350" s="45">
        <f>1000-161</f>
        <v>839</v>
      </c>
      <c r="I350" s="166">
        <v>940</v>
      </c>
      <c r="J350" s="45">
        <v>940</v>
      </c>
      <c r="K350" s="45">
        <v>940</v>
      </c>
      <c r="L350" s="34">
        <v>1000</v>
      </c>
      <c r="M350" s="189"/>
      <c r="N350" s="187"/>
    </row>
    <row r="351" spans="1:14" ht="45" customHeight="1" x14ac:dyDescent="0.2">
      <c r="A351" s="200"/>
      <c r="B351" s="186"/>
      <c r="C351" s="186"/>
      <c r="D351" s="42" t="s">
        <v>29</v>
      </c>
      <c r="E351" s="187"/>
      <c r="F351" s="34"/>
      <c r="G351" s="34"/>
      <c r="H351" s="45"/>
      <c r="I351" s="166"/>
      <c r="J351" s="45"/>
      <c r="K351" s="45"/>
      <c r="L351" s="34"/>
      <c r="M351" s="189"/>
      <c r="N351" s="187"/>
    </row>
    <row r="352" spans="1:14" ht="39" customHeight="1" x14ac:dyDescent="0.2">
      <c r="A352" s="200" t="s">
        <v>247</v>
      </c>
      <c r="B352" s="186" t="s">
        <v>130</v>
      </c>
      <c r="C352" s="186" t="s">
        <v>381</v>
      </c>
      <c r="D352" s="34" t="s">
        <v>24</v>
      </c>
      <c r="E352" s="187" t="s">
        <v>55</v>
      </c>
      <c r="F352" s="40">
        <f t="shared" ref="F352:L352" si="66">F353+F354+F355+F356</f>
        <v>300</v>
      </c>
      <c r="G352" s="40">
        <f t="shared" si="66"/>
        <v>1848</v>
      </c>
      <c r="H352" s="40">
        <f t="shared" si="66"/>
        <v>248</v>
      </c>
      <c r="I352" s="163">
        <f t="shared" si="66"/>
        <v>400</v>
      </c>
      <c r="J352" s="40">
        <f>J353+J354+J355+J356</f>
        <v>400</v>
      </c>
      <c r="K352" s="40">
        <f>K353+K354+K355+K356</f>
        <v>400</v>
      </c>
      <c r="L352" s="40">
        <f t="shared" si="66"/>
        <v>400</v>
      </c>
      <c r="M352" s="189" t="s">
        <v>26</v>
      </c>
      <c r="N352" s="187" t="s">
        <v>132</v>
      </c>
    </row>
    <row r="353" spans="1:14" ht="75" customHeight="1" x14ac:dyDescent="0.2">
      <c r="A353" s="200"/>
      <c r="B353" s="186"/>
      <c r="C353" s="186"/>
      <c r="D353" s="34" t="s">
        <v>27</v>
      </c>
      <c r="E353" s="187"/>
      <c r="F353" s="34"/>
      <c r="G353" s="34"/>
      <c r="H353" s="45"/>
      <c r="I353" s="166"/>
      <c r="J353" s="45"/>
      <c r="K353" s="45"/>
      <c r="L353" s="34"/>
      <c r="M353" s="189"/>
      <c r="N353" s="187"/>
    </row>
    <row r="354" spans="1:14" ht="72.75" customHeight="1" x14ac:dyDescent="0.2">
      <c r="A354" s="200"/>
      <c r="B354" s="186"/>
      <c r="C354" s="186"/>
      <c r="D354" s="34" t="s">
        <v>91</v>
      </c>
      <c r="E354" s="187"/>
      <c r="F354" s="34"/>
      <c r="G354" s="34"/>
      <c r="H354" s="45"/>
      <c r="I354" s="166"/>
      <c r="J354" s="45"/>
      <c r="K354" s="45"/>
      <c r="L354" s="34"/>
      <c r="M354" s="189"/>
      <c r="N354" s="187"/>
    </row>
    <row r="355" spans="1:14" ht="55.5" customHeight="1" x14ac:dyDescent="0.2">
      <c r="A355" s="200"/>
      <c r="B355" s="186"/>
      <c r="C355" s="186"/>
      <c r="D355" s="34" t="s">
        <v>82</v>
      </c>
      <c r="E355" s="187"/>
      <c r="F355" s="34">
        <v>300</v>
      </c>
      <c r="G355" s="34">
        <f>H355+I355+J355+K355+L355</f>
        <v>1848</v>
      </c>
      <c r="H355" s="45">
        <f>400-152</f>
        <v>248</v>
      </c>
      <c r="I355" s="166">
        <v>400</v>
      </c>
      <c r="J355" s="45">
        <v>400</v>
      </c>
      <c r="K355" s="45">
        <v>400</v>
      </c>
      <c r="L355" s="34">
        <v>400</v>
      </c>
      <c r="M355" s="189"/>
      <c r="N355" s="187"/>
    </row>
    <row r="356" spans="1:14" ht="50.25" customHeight="1" x14ac:dyDescent="0.2">
      <c r="A356" s="200"/>
      <c r="B356" s="186"/>
      <c r="C356" s="186"/>
      <c r="D356" s="42" t="s">
        <v>29</v>
      </c>
      <c r="E356" s="187"/>
      <c r="F356" s="34"/>
      <c r="G356" s="34"/>
      <c r="H356" s="45"/>
      <c r="I356" s="166"/>
      <c r="J356" s="45"/>
      <c r="K356" s="45"/>
      <c r="L356" s="34"/>
      <c r="M356" s="189"/>
      <c r="N356" s="187"/>
    </row>
    <row r="357" spans="1:14" ht="42" customHeight="1" x14ac:dyDescent="0.2">
      <c r="A357" s="198" t="s">
        <v>248</v>
      </c>
      <c r="B357" s="186" t="s">
        <v>134</v>
      </c>
      <c r="C357" s="186" t="s">
        <v>131</v>
      </c>
      <c r="D357" s="42" t="s">
        <v>34</v>
      </c>
      <c r="E357" s="187" t="s">
        <v>55</v>
      </c>
      <c r="F357" s="34">
        <f>F358+F359+F360+F361</f>
        <v>100</v>
      </c>
      <c r="G357" s="34"/>
      <c r="H357" s="45"/>
      <c r="I357" s="166"/>
      <c r="J357" s="45"/>
      <c r="K357" s="45"/>
      <c r="L357" s="34"/>
      <c r="M357" s="189" t="s">
        <v>26</v>
      </c>
      <c r="N357" s="187" t="s">
        <v>228</v>
      </c>
    </row>
    <row r="358" spans="1:14" ht="70.5" customHeight="1" x14ac:dyDescent="0.2">
      <c r="A358" s="198"/>
      <c r="B358" s="186"/>
      <c r="C358" s="186"/>
      <c r="D358" s="34" t="s">
        <v>27</v>
      </c>
      <c r="E358" s="187"/>
      <c r="F358" s="34"/>
      <c r="G358" s="34"/>
      <c r="H358" s="45"/>
      <c r="I358" s="166"/>
      <c r="J358" s="45"/>
      <c r="K358" s="45"/>
      <c r="L358" s="34"/>
      <c r="M358" s="189"/>
      <c r="N358" s="187"/>
    </row>
    <row r="359" spans="1:14" ht="75" customHeight="1" x14ac:dyDescent="0.2">
      <c r="A359" s="198"/>
      <c r="B359" s="186"/>
      <c r="C359" s="186"/>
      <c r="D359" s="34" t="s">
        <v>91</v>
      </c>
      <c r="E359" s="187"/>
      <c r="F359" s="34"/>
      <c r="G359" s="34"/>
      <c r="H359" s="45"/>
      <c r="I359" s="166"/>
      <c r="J359" s="45"/>
      <c r="K359" s="45"/>
      <c r="L359" s="34"/>
      <c r="M359" s="189"/>
      <c r="N359" s="187"/>
    </row>
    <row r="360" spans="1:14" ht="49.5" customHeight="1" x14ac:dyDescent="0.2">
      <c r="A360" s="198"/>
      <c r="B360" s="186"/>
      <c r="C360" s="186"/>
      <c r="D360" s="34" t="s">
        <v>82</v>
      </c>
      <c r="E360" s="187"/>
      <c r="F360" s="34">
        <v>100</v>
      </c>
      <c r="G360" s="34"/>
      <c r="H360" s="45"/>
      <c r="I360" s="166"/>
      <c r="J360" s="45"/>
      <c r="K360" s="45"/>
      <c r="L360" s="34"/>
      <c r="M360" s="189"/>
      <c r="N360" s="187"/>
    </row>
    <row r="361" spans="1:14" ht="54.75" customHeight="1" x14ac:dyDescent="0.2">
      <c r="A361" s="198"/>
      <c r="B361" s="186"/>
      <c r="C361" s="186"/>
      <c r="D361" s="42" t="s">
        <v>29</v>
      </c>
      <c r="E361" s="187"/>
      <c r="F361" s="34"/>
      <c r="G361" s="34"/>
      <c r="H361" s="45"/>
      <c r="I361" s="166"/>
      <c r="J361" s="45"/>
      <c r="K361" s="45"/>
      <c r="L361" s="34"/>
      <c r="M361" s="189"/>
      <c r="N361" s="187"/>
    </row>
    <row r="362" spans="1:14" ht="49.5" customHeight="1" x14ac:dyDescent="0.2">
      <c r="A362" s="198" t="s">
        <v>249</v>
      </c>
      <c r="B362" s="186" t="s">
        <v>135</v>
      </c>
      <c r="C362" s="186" t="s">
        <v>136</v>
      </c>
      <c r="D362" s="42" t="s">
        <v>34</v>
      </c>
      <c r="E362" s="187" t="s">
        <v>55</v>
      </c>
      <c r="F362" s="34">
        <f>F363+F364+F365+F366</f>
        <v>312</v>
      </c>
      <c r="G362" s="34">
        <f>H362+I362+J362+K362+L362</f>
        <v>1560</v>
      </c>
      <c r="H362" s="45">
        <f>H363+H364+H365+H366</f>
        <v>312</v>
      </c>
      <c r="I362" s="166">
        <f>I363+I364+I365+I366</f>
        <v>312</v>
      </c>
      <c r="J362" s="45">
        <f>J363+J364+J365+J366</f>
        <v>312</v>
      </c>
      <c r="K362" s="45">
        <f>K363+K364+K365+K366</f>
        <v>312</v>
      </c>
      <c r="L362" s="34">
        <f>L363+L364+L365+L366</f>
        <v>312</v>
      </c>
      <c r="M362" s="189" t="s">
        <v>26</v>
      </c>
      <c r="N362" s="187" t="s">
        <v>229</v>
      </c>
    </row>
    <row r="363" spans="1:14" ht="69.75" customHeight="1" x14ac:dyDescent="0.2">
      <c r="A363" s="198"/>
      <c r="B363" s="186"/>
      <c r="C363" s="186"/>
      <c r="D363" s="34" t="s">
        <v>27</v>
      </c>
      <c r="E363" s="187"/>
      <c r="F363" s="34"/>
      <c r="G363" s="34"/>
      <c r="H363" s="45"/>
      <c r="I363" s="166"/>
      <c r="J363" s="45"/>
      <c r="K363" s="45"/>
      <c r="L363" s="34"/>
      <c r="M363" s="189"/>
      <c r="N363" s="187"/>
    </row>
    <row r="364" spans="1:14" ht="72.75" customHeight="1" x14ac:dyDescent="0.2">
      <c r="A364" s="198"/>
      <c r="B364" s="186"/>
      <c r="C364" s="186"/>
      <c r="D364" s="34" t="s">
        <v>91</v>
      </c>
      <c r="E364" s="187"/>
      <c r="F364" s="34"/>
      <c r="G364" s="34"/>
      <c r="H364" s="45"/>
      <c r="I364" s="166"/>
      <c r="J364" s="45"/>
      <c r="K364" s="45"/>
      <c r="L364" s="34"/>
      <c r="M364" s="189"/>
      <c r="N364" s="187"/>
    </row>
    <row r="365" spans="1:14" ht="54.75" customHeight="1" x14ac:dyDescent="0.2">
      <c r="A365" s="198"/>
      <c r="B365" s="186"/>
      <c r="C365" s="186"/>
      <c r="D365" s="34" t="s">
        <v>82</v>
      </c>
      <c r="E365" s="187"/>
      <c r="F365" s="34">
        <v>312</v>
      </c>
      <c r="G365" s="34">
        <f>H365+I365+J365+K365+L365</f>
        <v>1560</v>
      </c>
      <c r="H365" s="45">
        <v>312</v>
      </c>
      <c r="I365" s="166">
        <v>312</v>
      </c>
      <c r="J365" s="45">
        <v>312</v>
      </c>
      <c r="K365" s="45">
        <v>312</v>
      </c>
      <c r="L365" s="34">
        <v>312</v>
      </c>
      <c r="M365" s="189"/>
      <c r="N365" s="187"/>
    </row>
    <row r="366" spans="1:14" ht="51" customHeight="1" x14ac:dyDescent="0.2">
      <c r="A366" s="198"/>
      <c r="B366" s="186"/>
      <c r="C366" s="186"/>
      <c r="D366" s="42" t="s">
        <v>29</v>
      </c>
      <c r="E366" s="187"/>
      <c r="F366" s="34"/>
      <c r="G366" s="34"/>
      <c r="H366" s="45"/>
      <c r="I366" s="166"/>
      <c r="J366" s="45"/>
      <c r="K366" s="45"/>
      <c r="L366" s="34"/>
      <c r="M366" s="189"/>
      <c r="N366" s="187"/>
    </row>
    <row r="367" spans="1:14" ht="36.75" customHeight="1" x14ac:dyDescent="0.2">
      <c r="A367" s="198" t="s">
        <v>250</v>
      </c>
      <c r="B367" s="191" t="s">
        <v>137</v>
      </c>
      <c r="C367" s="186" t="s">
        <v>380</v>
      </c>
      <c r="D367" s="42" t="s">
        <v>34</v>
      </c>
      <c r="E367" s="187" t="s">
        <v>55</v>
      </c>
      <c r="F367" s="34"/>
      <c r="G367" s="34">
        <f>H367+I367+J367+K367+L367</f>
        <v>1219</v>
      </c>
      <c r="H367" s="45">
        <f>H368+H369+H370+H371</f>
        <v>0</v>
      </c>
      <c r="I367" s="166">
        <f>I368+I369+I370+I371</f>
        <v>273</v>
      </c>
      <c r="J367" s="45">
        <f>J368+J369+J370+J371</f>
        <v>273</v>
      </c>
      <c r="K367" s="45">
        <f>K368+K369+K370+K371</f>
        <v>273</v>
      </c>
      <c r="L367" s="34">
        <f>L368+L369+L370+L371</f>
        <v>400</v>
      </c>
      <c r="M367" s="189" t="s">
        <v>26</v>
      </c>
      <c r="N367" s="187" t="s">
        <v>230</v>
      </c>
    </row>
    <row r="368" spans="1:14" ht="72.75" customHeight="1" x14ac:dyDescent="0.2">
      <c r="A368" s="198"/>
      <c r="B368" s="192"/>
      <c r="C368" s="186"/>
      <c r="D368" s="34" t="s">
        <v>27</v>
      </c>
      <c r="E368" s="187"/>
      <c r="F368" s="34"/>
      <c r="G368" s="34"/>
      <c r="H368" s="45"/>
      <c r="I368" s="166"/>
      <c r="J368" s="45"/>
      <c r="K368" s="45"/>
      <c r="L368" s="34"/>
      <c r="M368" s="189"/>
      <c r="N368" s="187"/>
    </row>
    <row r="369" spans="1:14" ht="72.75" customHeight="1" x14ac:dyDescent="0.2">
      <c r="A369" s="198"/>
      <c r="B369" s="192"/>
      <c r="C369" s="186"/>
      <c r="D369" s="34" t="s">
        <v>91</v>
      </c>
      <c r="E369" s="187"/>
      <c r="F369" s="34"/>
      <c r="G369" s="34"/>
      <c r="H369" s="45"/>
      <c r="I369" s="166"/>
      <c r="J369" s="45"/>
      <c r="K369" s="45"/>
      <c r="L369" s="34"/>
      <c r="M369" s="189"/>
      <c r="N369" s="187"/>
    </row>
    <row r="370" spans="1:14" ht="50.25" customHeight="1" x14ac:dyDescent="0.2">
      <c r="A370" s="198"/>
      <c r="B370" s="192"/>
      <c r="C370" s="186"/>
      <c r="D370" s="34" t="s">
        <v>82</v>
      </c>
      <c r="E370" s="187"/>
      <c r="F370" s="34"/>
      <c r="G370" s="34">
        <f>H370+I370+J370+K370+L370</f>
        <v>1219</v>
      </c>
      <c r="H370" s="45">
        <v>0</v>
      </c>
      <c r="I370" s="166">
        <v>273</v>
      </c>
      <c r="J370" s="45">
        <v>273</v>
      </c>
      <c r="K370" s="45">
        <v>273</v>
      </c>
      <c r="L370" s="34">
        <v>400</v>
      </c>
      <c r="M370" s="189"/>
      <c r="N370" s="187"/>
    </row>
    <row r="371" spans="1:14" ht="53.25" customHeight="1" x14ac:dyDescent="0.2">
      <c r="A371" s="198"/>
      <c r="B371" s="193"/>
      <c r="C371" s="186"/>
      <c r="D371" s="42" t="s">
        <v>29</v>
      </c>
      <c r="E371" s="187"/>
      <c r="F371" s="34"/>
      <c r="G371" s="34"/>
      <c r="H371" s="45"/>
      <c r="I371" s="166"/>
      <c r="J371" s="45"/>
      <c r="K371" s="45"/>
      <c r="L371" s="34"/>
      <c r="M371" s="189"/>
      <c r="N371" s="187"/>
    </row>
    <row r="372" spans="1:14" ht="41.25" customHeight="1" x14ac:dyDescent="0.2">
      <c r="A372" s="251" t="s">
        <v>143</v>
      </c>
      <c r="B372" s="199" t="s">
        <v>251</v>
      </c>
      <c r="C372" s="186" t="s">
        <v>140</v>
      </c>
      <c r="D372" s="34" t="s">
        <v>24</v>
      </c>
      <c r="E372" s="187" t="s">
        <v>55</v>
      </c>
      <c r="F372" s="40">
        <f t="shared" ref="F372:L372" si="67">F373+F374+F375+F376</f>
        <v>430</v>
      </c>
      <c r="G372" s="40">
        <f t="shared" si="67"/>
        <v>2275.1</v>
      </c>
      <c r="H372" s="40">
        <f t="shared" si="67"/>
        <v>564.1</v>
      </c>
      <c r="I372" s="163">
        <f t="shared" si="67"/>
        <v>427</v>
      </c>
      <c r="J372" s="40">
        <f>J373+J374+J375+J376</f>
        <v>427</v>
      </c>
      <c r="K372" s="40">
        <f>K373+K374+K375+K376</f>
        <v>427</v>
      </c>
      <c r="L372" s="40">
        <f t="shared" si="67"/>
        <v>430</v>
      </c>
      <c r="M372" s="189" t="s">
        <v>26</v>
      </c>
      <c r="N372" s="187" t="s">
        <v>231</v>
      </c>
    </row>
    <row r="373" spans="1:14" ht="75.75" customHeight="1" x14ac:dyDescent="0.2">
      <c r="A373" s="251"/>
      <c r="B373" s="199"/>
      <c r="C373" s="186"/>
      <c r="D373" s="34" t="s">
        <v>27</v>
      </c>
      <c r="E373" s="187"/>
      <c r="F373" s="34">
        <f t="shared" ref="F373:L374" si="68">F378</f>
        <v>0</v>
      </c>
      <c r="G373" s="34">
        <f t="shared" si="68"/>
        <v>0</v>
      </c>
      <c r="H373" s="45">
        <f t="shared" si="68"/>
        <v>0</v>
      </c>
      <c r="I373" s="166">
        <f t="shared" si="68"/>
        <v>0</v>
      </c>
      <c r="J373" s="45">
        <f t="shared" ref="J373:K376" si="69">J378</f>
        <v>0</v>
      </c>
      <c r="K373" s="45">
        <f t="shared" si="69"/>
        <v>0</v>
      </c>
      <c r="L373" s="34">
        <f t="shared" si="68"/>
        <v>0</v>
      </c>
      <c r="M373" s="189"/>
      <c r="N373" s="187"/>
    </row>
    <row r="374" spans="1:14" ht="71.25" customHeight="1" x14ac:dyDescent="0.2">
      <c r="A374" s="251"/>
      <c r="B374" s="199"/>
      <c r="C374" s="186"/>
      <c r="D374" s="34" t="s">
        <v>91</v>
      </c>
      <c r="E374" s="187"/>
      <c r="F374" s="34">
        <f t="shared" si="68"/>
        <v>0</v>
      </c>
      <c r="G374" s="34">
        <f t="shared" si="68"/>
        <v>0</v>
      </c>
      <c r="H374" s="45">
        <f t="shared" si="68"/>
        <v>0</v>
      </c>
      <c r="I374" s="166">
        <f t="shared" si="68"/>
        <v>0</v>
      </c>
      <c r="J374" s="45">
        <f t="shared" si="69"/>
        <v>0</v>
      </c>
      <c r="K374" s="45">
        <f t="shared" si="69"/>
        <v>0</v>
      </c>
      <c r="L374" s="34">
        <f t="shared" si="68"/>
        <v>0</v>
      </c>
      <c r="M374" s="189"/>
      <c r="N374" s="187"/>
    </row>
    <row r="375" spans="1:14" ht="43.5" customHeight="1" x14ac:dyDescent="0.2">
      <c r="A375" s="251"/>
      <c r="B375" s="199"/>
      <c r="C375" s="186"/>
      <c r="D375" s="34" t="s">
        <v>82</v>
      </c>
      <c r="E375" s="187"/>
      <c r="F375" s="34">
        <f t="shared" ref="F375:I376" si="70">F380</f>
        <v>430</v>
      </c>
      <c r="G375" s="34">
        <f t="shared" si="70"/>
        <v>2275.1</v>
      </c>
      <c r="H375" s="45">
        <f>H380</f>
        <v>564.1</v>
      </c>
      <c r="I375" s="166">
        <f t="shared" si="70"/>
        <v>427</v>
      </c>
      <c r="J375" s="45">
        <f t="shared" si="69"/>
        <v>427</v>
      </c>
      <c r="K375" s="45">
        <f t="shared" si="69"/>
        <v>427</v>
      </c>
      <c r="L375" s="34">
        <v>430</v>
      </c>
      <c r="M375" s="189"/>
      <c r="N375" s="187"/>
    </row>
    <row r="376" spans="1:14" ht="50.25" customHeight="1" x14ac:dyDescent="0.2">
      <c r="A376" s="251"/>
      <c r="B376" s="199"/>
      <c r="C376" s="186"/>
      <c r="D376" s="42" t="s">
        <v>29</v>
      </c>
      <c r="E376" s="187"/>
      <c r="F376" s="34">
        <f t="shared" si="70"/>
        <v>0</v>
      </c>
      <c r="G376" s="34">
        <f t="shared" si="70"/>
        <v>0</v>
      </c>
      <c r="H376" s="45">
        <f t="shared" si="70"/>
        <v>0</v>
      </c>
      <c r="I376" s="166">
        <f>I381</f>
        <v>0</v>
      </c>
      <c r="J376" s="45">
        <f t="shared" si="69"/>
        <v>0</v>
      </c>
      <c r="K376" s="45">
        <f t="shared" si="69"/>
        <v>0</v>
      </c>
      <c r="L376" s="34">
        <f>L381</f>
        <v>0</v>
      </c>
      <c r="M376" s="189"/>
      <c r="N376" s="187"/>
    </row>
    <row r="377" spans="1:14" ht="39" customHeight="1" x14ac:dyDescent="0.2">
      <c r="A377" s="200" t="s">
        <v>145</v>
      </c>
      <c r="B377" s="186" t="s">
        <v>139</v>
      </c>
      <c r="C377" s="186" t="s">
        <v>140</v>
      </c>
      <c r="D377" s="34" t="s">
        <v>24</v>
      </c>
      <c r="E377" s="187" t="s">
        <v>55</v>
      </c>
      <c r="F377" s="40">
        <f t="shared" ref="F377:L377" si="71">F378+F379+F380+F381</f>
        <v>430</v>
      </c>
      <c r="G377" s="40">
        <f t="shared" si="71"/>
        <v>2275.1</v>
      </c>
      <c r="H377" s="40">
        <f t="shared" si="71"/>
        <v>564.1</v>
      </c>
      <c r="I377" s="163">
        <f t="shared" si="71"/>
        <v>427</v>
      </c>
      <c r="J377" s="40">
        <f>J378+J379+J380+J381</f>
        <v>427</v>
      </c>
      <c r="K377" s="40">
        <f>K378+K379+K380+K381</f>
        <v>427</v>
      </c>
      <c r="L377" s="40">
        <f t="shared" si="71"/>
        <v>430</v>
      </c>
      <c r="M377" s="189" t="s">
        <v>26</v>
      </c>
      <c r="N377" s="187" t="s">
        <v>232</v>
      </c>
    </row>
    <row r="378" spans="1:14" ht="78.75" customHeight="1" x14ac:dyDescent="0.2">
      <c r="A378" s="200"/>
      <c r="B378" s="186"/>
      <c r="C378" s="186"/>
      <c r="D378" s="34" t="s">
        <v>27</v>
      </c>
      <c r="E378" s="187"/>
      <c r="F378" s="34">
        <f t="shared" ref="F378:L380" si="72">F383</f>
        <v>0</v>
      </c>
      <c r="G378" s="34">
        <f t="shared" si="72"/>
        <v>0</v>
      </c>
      <c r="H378" s="45">
        <f t="shared" si="72"/>
        <v>0</v>
      </c>
      <c r="I378" s="166">
        <f t="shared" si="72"/>
        <v>0</v>
      </c>
      <c r="J378" s="45">
        <f t="shared" ref="J378:K381" si="73">J383</f>
        <v>0</v>
      </c>
      <c r="K378" s="45">
        <f t="shared" si="73"/>
        <v>0</v>
      </c>
      <c r="L378" s="34">
        <f t="shared" si="72"/>
        <v>0</v>
      </c>
      <c r="M378" s="189"/>
      <c r="N378" s="187"/>
    </row>
    <row r="379" spans="1:14" ht="74.25" customHeight="1" x14ac:dyDescent="0.2">
      <c r="A379" s="200"/>
      <c r="B379" s="186"/>
      <c r="C379" s="186"/>
      <c r="D379" s="34" t="s">
        <v>91</v>
      </c>
      <c r="E379" s="187"/>
      <c r="F379" s="34">
        <f t="shared" si="72"/>
        <v>0</v>
      </c>
      <c r="G379" s="34">
        <f t="shared" si="72"/>
        <v>0</v>
      </c>
      <c r="H379" s="45">
        <f t="shared" si="72"/>
        <v>0</v>
      </c>
      <c r="I379" s="166">
        <f t="shared" si="72"/>
        <v>0</v>
      </c>
      <c r="J379" s="45">
        <f t="shared" si="73"/>
        <v>0</v>
      </c>
      <c r="K379" s="45">
        <f t="shared" si="73"/>
        <v>0</v>
      </c>
      <c r="L379" s="34">
        <f t="shared" si="72"/>
        <v>0</v>
      </c>
      <c r="M379" s="189"/>
      <c r="N379" s="187"/>
    </row>
    <row r="380" spans="1:14" ht="48.75" customHeight="1" x14ac:dyDescent="0.2">
      <c r="A380" s="200"/>
      <c r="B380" s="186"/>
      <c r="C380" s="186"/>
      <c r="D380" s="34" t="s">
        <v>82</v>
      </c>
      <c r="E380" s="187"/>
      <c r="F380" s="34">
        <f>F385</f>
        <v>430</v>
      </c>
      <c r="G380" s="34">
        <f>G385</f>
        <v>2275.1</v>
      </c>
      <c r="H380" s="45">
        <f t="shared" si="72"/>
        <v>564.1</v>
      </c>
      <c r="I380" s="166">
        <f t="shared" si="72"/>
        <v>427</v>
      </c>
      <c r="J380" s="45">
        <f t="shared" si="73"/>
        <v>427</v>
      </c>
      <c r="K380" s="45">
        <f t="shared" si="73"/>
        <v>427</v>
      </c>
      <c r="L380" s="34">
        <v>430</v>
      </c>
      <c r="M380" s="189"/>
      <c r="N380" s="187"/>
    </row>
    <row r="381" spans="1:14" ht="44.25" customHeight="1" x14ac:dyDescent="0.2">
      <c r="A381" s="200"/>
      <c r="B381" s="186"/>
      <c r="C381" s="186"/>
      <c r="D381" s="42" t="s">
        <v>29</v>
      </c>
      <c r="E381" s="187"/>
      <c r="F381" s="34">
        <f>F386</f>
        <v>0</v>
      </c>
      <c r="G381" s="34">
        <f>G386</f>
        <v>0</v>
      </c>
      <c r="H381" s="45">
        <f>H386</f>
        <v>0</v>
      </c>
      <c r="I381" s="166">
        <f>I386</f>
        <v>0</v>
      </c>
      <c r="J381" s="45">
        <f t="shared" si="73"/>
        <v>0</v>
      </c>
      <c r="K381" s="45">
        <f t="shared" si="73"/>
        <v>0</v>
      </c>
      <c r="L381" s="34">
        <f>L386</f>
        <v>0</v>
      </c>
      <c r="M381" s="189"/>
      <c r="N381" s="187"/>
    </row>
    <row r="382" spans="1:14" ht="29.25" customHeight="1" x14ac:dyDescent="0.2">
      <c r="A382" s="200" t="s">
        <v>252</v>
      </c>
      <c r="B382" s="186" t="s">
        <v>141</v>
      </c>
      <c r="C382" s="186" t="s">
        <v>140</v>
      </c>
      <c r="D382" s="34" t="s">
        <v>24</v>
      </c>
      <c r="E382" s="187" t="s">
        <v>55</v>
      </c>
      <c r="F382" s="40">
        <f t="shared" ref="F382:L382" si="74">F383+F384+F385+F386</f>
        <v>430</v>
      </c>
      <c r="G382" s="40">
        <f t="shared" si="74"/>
        <v>2275.1</v>
      </c>
      <c r="H382" s="40">
        <f t="shared" si="74"/>
        <v>564.1</v>
      </c>
      <c r="I382" s="163">
        <f t="shared" si="74"/>
        <v>427</v>
      </c>
      <c r="J382" s="40">
        <f>J383+J384+J385+J386</f>
        <v>427</v>
      </c>
      <c r="K382" s="40">
        <f>K383+K384+K385+K386</f>
        <v>427</v>
      </c>
      <c r="L382" s="40">
        <f t="shared" si="74"/>
        <v>430</v>
      </c>
      <c r="M382" s="189" t="s">
        <v>26</v>
      </c>
      <c r="N382" s="187" t="s">
        <v>142</v>
      </c>
    </row>
    <row r="383" spans="1:14" ht="73.5" customHeight="1" x14ac:dyDescent="0.2">
      <c r="A383" s="200"/>
      <c r="B383" s="186"/>
      <c r="C383" s="186"/>
      <c r="D383" s="34" t="s">
        <v>27</v>
      </c>
      <c r="E383" s="187"/>
      <c r="F383" s="34"/>
      <c r="G383" s="34"/>
      <c r="H383" s="45"/>
      <c r="I383" s="166"/>
      <c r="J383" s="45"/>
      <c r="K383" s="45"/>
      <c r="L383" s="34"/>
      <c r="M383" s="189"/>
      <c r="N383" s="187"/>
    </row>
    <row r="384" spans="1:14" ht="72" customHeight="1" x14ac:dyDescent="0.2">
      <c r="A384" s="200"/>
      <c r="B384" s="186"/>
      <c r="C384" s="186"/>
      <c r="D384" s="34" t="s">
        <v>91</v>
      </c>
      <c r="E384" s="187"/>
      <c r="F384" s="34"/>
      <c r="G384" s="34"/>
      <c r="H384" s="45"/>
      <c r="I384" s="166"/>
      <c r="J384" s="45"/>
      <c r="K384" s="45"/>
      <c r="L384" s="34"/>
      <c r="M384" s="189"/>
      <c r="N384" s="187"/>
    </row>
    <row r="385" spans="1:14" ht="51" customHeight="1" x14ac:dyDescent="0.2">
      <c r="A385" s="200"/>
      <c r="B385" s="186"/>
      <c r="C385" s="186"/>
      <c r="D385" s="34" t="s">
        <v>82</v>
      </c>
      <c r="E385" s="187"/>
      <c r="F385" s="34">
        <v>430</v>
      </c>
      <c r="G385" s="34">
        <f>H385+I385+J385+K385+L385</f>
        <v>2275.1</v>
      </c>
      <c r="H385" s="45">
        <f>427+152-14.9</f>
        <v>564.1</v>
      </c>
      <c r="I385" s="166">
        <v>427</v>
      </c>
      <c r="J385" s="45">
        <v>427</v>
      </c>
      <c r="K385" s="45">
        <v>427</v>
      </c>
      <c r="L385" s="34">
        <v>430</v>
      </c>
      <c r="M385" s="189"/>
      <c r="N385" s="187"/>
    </row>
    <row r="386" spans="1:14" ht="50.25" customHeight="1" x14ac:dyDescent="0.2">
      <c r="A386" s="200"/>
      <c r="B386" s="186"/>
      <c r="C386" s="186"/>
      <c r="D386" s="42" t="s">
        <v>29</v>
      </c>
      <c r="E386" s="187"/>
      <c r="F386" s="34"/>
      <c r="G386" s="34"/>
      <c r="H386" s="45"/>
      <c r="I386" s="166"/>
      <c r="J386" s="45"/>
      <c r="K386" s="45"/>
      <c r="L386" s="34"/>
      <c r="M386" s="189"/>
      <c r="N386" s="187"/>
    </row>
    <row r="387" spans="1:14" ht="45.75" customHeight="1" x14ac:dyDescent="0.2">
      <c r="A387" s="251" t="s">
        <v>146</v>
      </c>
      <c r="B387" s="199" t="s">
        <v>253</v>
      </c>
      <c r="C387" s="186" t="s">
        <v>105</v>
      </c>
      <c r="D387" s="34" t="s">
        <v>24</v>
      </c>
      <c r="E387" s="187" t="s">
        <v>55</v>
      </c>
      <c r="F387" s="40">
        <f>F388+F389+F390+F391</f>
        <v>2465</v>
      </c>
      <c r="G387" s="40">
        <f t="shared" ref="G387:L387" si="75">G388+G389+G390+G391</f>
        <v>10512.95</v>
      </c>
      <c r="H387" s="40">
        <f t="shared" si="75"/>
        <v>1188.55</v>
      </c>
      <c r="I387" s="163">
        <f t="shared" si="75"/>
        <v>2359.8000000000002</v>
      </c>
      <c r="J387" s="40">
        <f>J388+J389+J390+J391</f>
        <v>2249.8000000000002</v>
      </c>
      <c r="K387" s="40">
        <f>K388+K389+K390+K391</f>
        <v>2249.8000000000002</v>
      </c>
      <c r="L387" s="40">
        <f t="shared" si="75"/>
        <v>2465</v>
      </c>
      <c r="M387" s="189" t="s">
        <v>26</v>
      </c>
      <c r="N387" s="187" t="s">
        <v>144</v>
      </c>
    </row>
    <row r="388" spans="1:14" ht="72.75" customHeight="1" x14ac:dyDescent="0.2">
      <c r="A388" s="251"/>
      <c r="B388" s="199"/>
      <c r="C388" s="186"/>
      <c r="D388" s="34" t="s">
        <v>27</v>
      </c>
      <c r="E388" s="187"/>
      <c r="F388" s="34">
        <f t="shared" ref="F388:L389" si="76">F393</f>
        <v>0</v>
      </c>
      <c r="G388" s="34">
        <f t="shared" si="76"/>
        <v>0</v>
      </c>
      <c r="H388" s="45">
        <f t="shared" si="76"/>
        <v>0</v>
      </c>
      <c r="I388" s="166">
        <f t="shared" si="76"/>
        <v>0</v>
      </c>
      <c r="J388" s="45">
        <f t="shared" ref="J388:K391" si="77">J393</f>
        <v>0</v>
      </c>
      <c r="K388" s="45">
        <f t="shared" si="77"/>
        <v>0</v>
      </c>
      <c r="L388" s="34">
        <f t="shared" si="76"/>
        <v>0</v>
      </c>
      <c r="M388" s="189"/>
      <c r="N388" s="187"/>
    </row>
    <row r="389" spans="1:14" ht="73.5" customHeight="1" x14ac:dyDescent="0.2">
      <c r="A389" s="251"/>
      <c r="B389" s="199"/>
      <c r="C389" s="186"/>
      <c r="D389" s="34" t="s">
        <v>91</v>
      </c>
      <c r="E389" s="187"/>
      <c r="F389" s="34">
        <f t="shared" si="76"/>
        <v>0</v>
      </c>
      <c r="G389" s="34">
        <f t="shared" si="76"/>
        <v>0</v>
      </c>
      <c r="H389" s="45">
        <f t="shared" si="76"/>
        <v>0</v>
      </c>
      <c r="I389" s="166">
        <f t="shared" si="76"/>
        <v>0</v>
      </c>
      <c r="J389" s="45">
        <f t="shared" si="77"/>
        <v>0</v>
      </c>
      <c r="K389" s="45">
        <f t="shared" si="77"/>
        <v>0</v>
      </c>
      <c r="L389" s="34">
        <f t="shared" si="76"/>
        <v>0</v>
      </c>
      <c r="M389" s="189"/>
      <c r="N389" s="187"/>
    </row>
    <row r="390" spans="1:14" ht="52.5" customHeight="1" x14ac:dyDescent="0.2">
      <c r="A390" s="251"/>
      <c r="B390" s="199"/>
      <c r="C390" s="186"/>
      <c r="D390" s="34" t="s">
        <v>82</v>
      </c>
      <c r="E390" s="187"/>
      <c r="F390" s="34">
        <f t="shared" ref="F390:I391" si="78">F395</f>
        <v>2465</v>
      </c>
      <c r="G390" s="34">
        <f t="shared" si="78"/>
        <v>10512.95</v>
      </c>
      <c r="H390" s="45">
        <f t="shared" si="78"/>
        <v>1188.55</v>
      </c>
      <c r="I390" s="166">
        <f t="shared" si="78"/>
        <v>2359.8000000000002</v>
      </c>
      <c r="J390" s="45">
        <f t="shared" si="77"/>
        <v>2249.8000000000002</v>
      </c>
      <c r="K390" s="45">
        <f t="shared" si="77"/>
        <v>2249.8000000000002</v>
      </c>
      <c r="L390" s="34">
        <f>L395</f>
        <v>2465</v>
      </c>
      <c r="M390" s="189"/>
      <c r="N390" s="187"/>
    </row>
    <row r="391" spans="1:14" ht="54" customHeight="1" x14ac:dyDescent="0.2">
      <c r="A391" s="251"/>
      <c r="B391" s="199"/>
      <c r="C391" s="186"/>
      <c r="D391" s="42" t="s">
        <v>29</v>
      </c>
      <c r="E391" s="187"/>
      <c r="F391" s="34">
        <f t="shared" si="78"/>
        <v>0</v>
      </c>
      <c r="G391" s="34">
        <f t="shared" si="78"/>
        <v>0</v>
      </c>
      <c r="H391" s="45">
        <f t="shared" si="78"/>
        <v>0</v>
      </c>
      <c r="I391" s="166">
        <f t="shared" si="78"/>
        <v>0</v>
      </c>
      <c r="J391" s="45">
        <f t="shared" si="77"/>
        <v>0</v>
      </c>
      <c r="K391" s="45">
        <f t="shared" si="77"/>
        <v>0</v>
      </c>
      <c r="L391" s="34">
        <f>L396</f>
        <v>0</v>
      </c>
      <c r="M391" s="189"/>
      <c r="N391" s="187"/>
    </row>
    <row r="392" spans="1:14" ht="47.25" customHeight="1" x14ac:dyDescent="0.2">
      <c r="A392" s="252" t="s">
        <v>254</v>
      </c>
      <c r="B392" s="191" t="s">
        <v>299</v>
      </c>
      <c r="C392" s="191" t="s">
        <v>105</v>
      </c>
      <c r="D392" s="34" t="s">
        <v>24</v>
      </c>
      <c r="E392" s="187" t="s">
        <v>55</v>
      </c>
      <c r="F392" s="40">
        <f t="shared" ref="F392:L392" si="79">F393+F394+F395+F396</f>
        <v>2465</v>
      </c>
      <c r="G392" s="40">
        <f t="shared" si="79"/>
        <v>10512.95</v>
      </c>
      <c r="H392" s="40">
        <f t="shared" si="79"/>
        <v>1188.55</v>
      </c>
      <c r="I392" s="163">
        <f t="shared" si="79"/>
        <v>2359.8000000000002</v>
      </c>
      <c r="J392" s="40">
        <f>J393+J394+J395+J396</f>
        <v>2249.8000000000002</v>
      </c>
      <c r="K392" s="40">
        <f>K393+K394+K395+K396</f>
        <v>2249.8000000000002</v>
      </c>
      <c r="L392" s="40">
        <f t="shared" si="79"/>
        <v>2465</v>
      </c>
      <c r="M392" s="189" t="s">
        <v>26</v>
      </c>
      <c r="N392" s="187" t="s">
        <v>144</v>
      </c>
    </row>
    <row r="393" spans="1:14" ht="72" customHeight="1" x14ac:dyDescent="0.2">
      <c r="A393" s="252"/>
      <c r="B393" s="191"/>
      <c r="C393" s="191"/>
      <c r="D393" s="34" t="s">
        <v>27</v>
      </c>
      <c r="E393" s="187"/>
      <c r="F393" s="34"/>
      <c r="G393" s="34"/>
      <c r="H393" s="45"/>
      <c r="I393" s="166"/>
      <c r="J393" s="45"/>
      <c r="K393" s="45"/>
      <c r="L393" s="34"/>
      <c r="M393" s="189"/>
      <c r="N393" s="187"/>
    </row>
    <row r="394" spans="1:14" ht="69.75" customHeight="1" x14ac:dyDescent="0.2">
      <c r="A394" s="252"/>
      <c r="B394" s="191"/>
      <c r="C394" s="191"/>
      <c r="D394" s="34" t="s">
        <v>91</v>
      </c>
      <c r="E394" s="187"/>
      <c r="F394" s="34"/>
      <c r="G394" s="34"/>
      <c r="H394" s="45"/>
      <c r="I394" s="166"/>
      <c r="J394" s="45"/>
      <c r="K394" s="45"/>
      <c r="L394" s="34"/>
      <c r="M394" s="189"/>
      <c r="N394" s="187"/>
    </row>
    <row r="395" spans="1:14" ht="49.5" customHeight="1" x14ac:dyDescent="0.2">
      <c r="A395" s="252"/>
      <c r="B395" s="191"/>
      <c r="C395" s="191"/>
      <c r="D395" s="34" t="s">
        <v>82</v>
      </c>
      <c r="E395" s="187"/>
      <c r="F395" s="34">
        <v>2465</v>
      </c>
      <c r="G395" s="34">
        <f>H395+I395+J395+K395+L395</f>
        <v>10512.95</v>
      </c>
      <c r="H395" s="45">
        <v>1188.55</v>
      </c>
      <c r="I395" s="166">
        <f>2249.8+110</f>
        <v>2359.8000000000002</v>
      </c>
      <c r="J395" s="45">
        <v>2249.8000000000002</v>
      </c>
      <c r="K395" s="45">
        <v>2249.8000000000002</v>
      </c>
      <c r="L395" s="34">
        <v>2465</v>
      </c>
      <c r="M395" s="189"/>
      <c r="N395" s="187"/>
    </row>
    <row r="396" spans="1:14" ht="45.75" customHeight="1" x14ac:dyDescent="0.2">
      <c r="A396" s="252"/>
      <c r="B396" s="191"/>
      <c r="C396" s="191"/>
      <c r="D396" s="42" t="s">
        <v>29</v>
      </c>
      <c r="E396" s="187"/>
      <c r="F396" s="34"/>
      <c r="G396" s="34"/>
      <c r="H396" s="45"/>
      <c r="I396" s="166"/>
      <c r="J396" s="45"/>
      <c r="K396" s="45"/>
      <c r="L396" s="34"/>
      <c r="M396" s="189"/>
      <c r="N396" s="187"/>
    </row>
    <row r="397" spans="1:14" ht="43.5" customHeight="1" x14ac:dyDescent="0.2">
      <c r="A397" s="253" t="s">
        <v>148</v>
      </c>
      <c r="B397" s="199" t="s">
        <v>255</v>
      </c>
      <c r="C397" s="186" t="s">
        <v>105</v>
      </c>
      <c r="D397" s="51" t="s">
        <v>34</v>
      </c>
      <c r="E397" s="187" t="s">
        <v>55</v>
      </c>
      <c r="F397" s="34"/>
      <c r="G397" s="34">
        <f t="shared" ref="G397:L397" si="80">G398+G399+G400</f>
        <v>400</v>
      </c>
      <c r="H397" s="45">
        <f t="shared" si="80"/>
        <v>80</v>
      </c>
      <c r="I397" s="166">
        <f>I398+I399+I400</f>
        <v>80</v>
      </c>
      <c r="J397" s="45">
        <f>J398+J399+J400</f>
        <v>80</v>
      </c>
      <c r="K397" s="45">
        <f>K398+K399+K400</f>
        <v>80</v>
      </c>
      <c r="L397" s="34">
        <f t="shared" si="80"/>
        <v>80</v>
      </c>
      <c r="M397" s="189" t="s">
        <v>26</v>
      </c>
      <c r="N397" s="187" t="s">
        <v>147</v>
      </c>
    </row>
    <row r="398" spans="1:14" ht="51.75" customHeight="1" x14ac:dyDescent="0.2">
      <c r="A398" s="253"/>
      <c r="B398" s="199"/>
      <c r="C398" s="186"/>
      <c r="D398" s="52" t="s">
        <v>27</v>
      </c>
      <c r="E398" s="187"/>
      <c r="F398" s="34"/>
      <c r="G398" s="34"/>
      <c r="H398" s="45"/>
      <c r="I398" s="166"/>
      <c r="J398" s="45"/>
      <c r="K398" s="45"/>
      <c r="L398" s="34"/>
      <c r="M398" s="189"/>
      <c r="N398" s="187"/>
    </row>
    <row r="399" spans="1:14" ht="53.25" customHeight="1" x14ac:dyDescent="0.2">
      <c r="A399" s="253"/>
      <c r="B399" s="199"/>
      <c r="C399" s="186"/>
      <c r="D399" s="52" t="s">
        <v>82</v>
      </c>
      <c r="E399" s="187"/>
      <c r="F399" s="34"/>
      <c r="G399" s="34">
        <f>H399+I399+J399+K399+L399</f>
        <v>400</v>
      </c>
      <c r="H399" s="45">
        <v>80</v>
      </c>
      <c r="I399" s="166">
        <f>I403</f>
        <v>80</v>
      </c>
      <c r="J399" s="45">
        <v>80</v>
      </c>
      <c r="K399" s="45">
        <v>80</v>
      </c>
      <c r="L399" s="34">
        <v>80</v>
      </c>
      <c r="M399" s="189"/>
      <c r="N399" s="187"/>
    </row>
    <row r="400" spans="1:14" ht="55.5" customHeight="1" x14ac:dyDescent="0.2">
      <c r="A400" s="253"/>
      <c r="B400" s="199"/>
      <c r="C400" s="186"/>
      <c r="D400" s="51" t="s">
        <v>29</v>
      </c>
      <c r="E400" s="187"/>
      <c r="F400" s="34"/>
      <c r="G400" s="34"/>
      <c r="H400" s="45"/>
      <c r="I400" s="166"/>
      <c r="J400" s="45"/>
      <c r="K400" s="45"/>
      <c r="L400" s="34"/>
      <c r="M400" s="189"/>
      <c r="N400" s="187"/>
    </row>
    <row r="401" spans="1:15" ht="43.5" customHeight="1" x14ac:dyDescent="0.2">
      <c r="A401" s="252" t="s">
        <v>367</v>
      </c>
      <c r="B401" s="186" t="s">
        <v>368</v>
      </c>
      <c r="C401" s="186" t="s">
        <v>105</v>
      </c>
      <c r="D401" s="51" t="s">
        <v>34</v>
      </c>
      <c r="E401" s="187" t="s">
        <v>55</v>
      </c>
      <c r="F401" s="34"/>
      <c r="G401" s="34">
        <f t="shared" ref="G401:L401" si="81">G402+G403+G404</f>
        <v>400</v>
      </c>
      <c r="H401" s="45">
        <f t="shared" si="81"/>
        <v>80</v>
      </c>
      <c r="I401" s="166">
        <f t="shared" si="81"/>
        <v>80</v>
      </c>
      <c r="J401" s="45">
        <f t="shared" si="81"/>
        <v>80</v>
      </c>
      <c r="K401" s="45">
        <f t="shared" si="81"/>
        <v>80</v>
      </c>
      <c r="L401" s="34">
        <f t="shared" si="81"/>
        <v>80</v>
      </c>
      <c r="M401" s="189" t="s">
        <v>26</v>
      </c>
      <c r="N401" s="187" t="s">
        <v>147</v>
      </c>
    </row>
    <row r="402" spans="1:15" ht="51.75" customHeight="1" x14ac:dyDescent="0.2">
      <c r="A402" s="252"/>
      <c r="B402" s="186"/>
      <c r="C402" s="186"/>
      <c r="D402" s="52" t="s">
        <v>27</v>
      </c>
      <c r="E402" s="187"/>
      <c r="F402" s="34"/>
      <c r="G402" s="34"/>
      <c r="H402" s="45"/>
      <c r="I402" s="166"/>
      <c r="J402" s="45"/>
      <c r="K402" s="45"/>
      <c r="L402" s="34"/>
      <c r="M402" s="189"/>
      <c r="N402" s="187"/>
    </row>
    <row r="403" spans="1:15" ht="53.25" customHeight="1" x14ac:dyDescent="0.2">
      <c r="A403" s="252"/>
      <c r="B403" s="186"/>
      <c r="C403" s="186"/>
      <c r="D403" s="52" t="s">
        <v>82</v>
      </c>
      <c r="E403" s="187"/>
      <c r="F403" s="34"/>
      <c r="G403" s="34">
        <f>H403+I403+J403+K403+L403</f>
        <v>400</v>
      </c>
      <c r="H403" s="45">
        <v>80</v>
      </c>
      <c r="I403" s="166">
        <v>80</v>
      </c>
      <c r="J403" s="45">
        <v>80</v>
      </c>
      <c r="K403" s="45">
        <v>80</v>
      </c>
      <c r="L403" s="34">
        <v>80</v>
      </c>
      <c r="M403" s="189"/>
      <c r="N403" s="187"/>
    </row>
    <row r="404" spans="1:15" ht="55.5" customHeight="1" x14ac:dyDescent="0.2">
      <c r="A404" s="252"/>
      <c r="B404" s="186"/>
      <c r="C404" s="186"/>
      <c r="D404" s="51" t="s">
        <v>29</v>
      </c>
      <c r="E404" s="187"/>
      <c r="F404" s="34"/>
      <c r="G404" s="34"/>
      <c r="H404" s="45"/>
      <c r="I404" s="166"/>
      <c r="J404" s="45"/>
      <c r="K404" s="45"/>
      <c r="L404" s="34"/>
      <c r="M404" s="189"/>
      <c r="N404" s="187"/>
    </row>
    <row r="405" spans="1:15" ht="43.5" customHeight="1" x14ac:dyDescent="0.2">
      <c r="A405" s="184" t="s">
        <v>372</v>
      </c>
      <c r="B405" s="185" t="s">
        <v>373</v>
      </c>
      <c r="C405" s="186" t="s">
        <v>105</v>
      </c>
      <c r="D405" s="51" t="s">
        <v>34</v>
      </c>
      <c r="E405" s="187" t="s">
        <v>55</v>
      </c>
      <c r="F405" s="34"/>
      <c r="G405" s="130">
        <f t="shared" ref="G405:L405" si="82">G406+G407+G408</f>
        <v>15943</v>
      </c>
      <c r="H405" s="130">
        <f t="shared" si="82"/>
        <v>3313</v>
      </c>
      <c r="I405" s="166">
        <f t="shared" si="82"/>
        <v>4210</v>
      </c>
      <c r="J405" s="130">
        <f t="shared" si="82"/>
        <v>4210</v>
      </c>
      <c r="K405" s="130">
        <f t="shared" si="82"/>
        <v>4210</v>
      </c>
      <c r="L405" s="130">
        <f t="shared" si="82"/>
        <v>0</v>
      </c>
      <c r="M405" s="189" t="s">
        <v>26</v>
      </c>
      <c r="N405" s="187" t="s">
        <v>147</v>
      </c>
    </row>
    <row r="406" spans="1:15" ht="51.75" customHeight="1" x14ac:dyDescent="0.2">
      <c r="A406" s="184"/>
      <c r="B406" s="185"/>
      <c r="C406" s="186"/>
      <c r="D406" s="52" t="s">
        <v>27</v>
      </c>
      <c r="E406" s="187"/>
      <c r="F406" s="34"/>
      <c r="G406" s="130">
        <f t="shared" ref="G406:L407" si="83">G410+G414</f>
        <v>15943</v>
      </c>
      <c r="H406" s="130">
        <f t="shared" si="83"/>
        <v>3313</v>
      </c>
      <c r="I406" s="166">
        <f t="shared" si="83"/>
        <v>4210</v>
      </c>
      <c r="J406" s="130">
        <f t="shared" si="83"/>
        <v>4210</v>
      </c>
      <c r="K406" s="130">
        <f t="shared" si="83"/>
        <v>4210</v>
      </c>
      <c r="L406" s="130">
        <f t="shared" si="83"/>
        <v>0</v>
      </c>
      <c r="M406" s="189"/>
      <c r="N406" s="187"/>
    </row>
    <row r="407" spans="1:15" ht="53.25" customHeight="1" x14ac:dyDescent="0.2">
      <c r="A407" s="184"/>
      <c r="B407" s="185"/>
      <c r="C407" s="186"/>
      <c r="D407" s="52" t="s">
        <v>82</v>
      </c>
      <c r="E407" s="187"/>
      <c r="F407" s="34"/>
      <c r="G407" s="130">
        <f t="shared" si="83"/>
        <v>0</v>
      </c>
      <c r="H407" s="130">
        <f t="shared" si="83"/>
        <v>0</v>
      </c>
      <c r="I407" s="166">
        <f t="shared" si="83"/>
        <v>0</v>
      </c>
      <c r="J407" s="130">
        <f t="shared" si="83"/>
        <v>0</v>
      </c>
      <c r="K407" s="130">
        <f t="shared" si="83"/>
        <v>0</v>
      </c>
      <c r="L407" s="130">
        <f t="shared" si="83"/>
        <v>0</v>
      </c>
      <c r="M407" s="189"/>
      <c r="N407" s="187"/>
    </row>
    <row r="408" spans="1:15" ht="48.75" customHeight="1" x14ac:dyDescent="0.2">
      <c r="A408" s="184"/>
      <c r="B408" s="185"/>
      <c r="C408" s="186"/>
      <c r="D408" s="51" t="s">
        <v>29</v>
      </c>
      <c r="E408" s="187"/>
      <c r="F408" s="34"/>
      <c r="G408" s="130"/>
      <c r="H408" s="130"/>
      <c r="I408" s="166"/>
      <c r="J408" s="130"/>
      <c r="K408" s="130"/>
      <c r="L408" s="130"/>
      <c r="M408" s="189"/>
      <c r="N408" s="187"/>
    </row>
    <row r="409" spans="1:15" ht="31.5" customHeight="1" x14ac:dyDescent="0.2">
      <c r="A409" s="53" t="s">
        <v>256</v>
      </c>
      <c r="B409" s="191" t="s">
        <v>149</v>
      </c>
      <c r="C409" s="191" t="s">
        <v>300</v>
      </c>
      <c r="D409" s="51" t="s">
        <v>34</v>
      </c>
      <c r="E409" s="254" t="s">
        <v>55</v>
      </c>
      <c r="F409" s="34"/>
      <c r="G409" s="34">
        <f t="shared" ref="G409:L409" si="84">G410+G411+G412</f>
        <v>749.6</v>
      </c>
      <c r="H409" s="45">
        <f t="shared" si="84"/>
        <v>180</v>
      </c>
      <c r="I409" s="166">
        <f t="shared" si="84"/>
        <v>189.6</v>
      </c>
      <c r="J409" s="45">
        <f>J410+J411+J412</f>
        <v>190</v>
      </c>
      <c r="K409" s="45">
        <f>K410+K411+K412</f>
        <v>190</v>
      </c>
      <c r="L409" s="34">
        <f t="shared" si="84"/>
        <v>0</v>
      </c>
      <c r="M409" s="208" t="s">
        <v>265</v>
      </c>
      <c r="N409" s="254" t="s">
        <v>150</v>
      </c>
      <c r="O409" s="1">
        <v>-0.4</v>
      </c>
    </row>
    <row r="410" spans="1:15" ht="69.75" customHeight="1" x14ac:dyDescent="0.2">
      <c r="A410" s="55"/>
      <c r="B410" s="192"/>
      <c r="C410" s="192"/>
      <c r="D410" s="52" t="s">
        <v>27</v>
      </c>
      <c r="E410" s="255"/>
      <c r="F410" s="34"/>
      <c r="G410" s="34">
        <f>H410+I410+J410+K410+L410</f>
        <v>749.6</v>
      </c>
      <c r="H410" s="45">
        <f>150+30</f>
        <v>180</v>
      </c>
      <c r="I410" s="166">
        <f>190-0.4</f>
        <v>189.6</v>
      </c>
      <c r="J410" s="45">
        <v>190</v>
      </c>
      <c r="K410" s="45">
        <v>190</v>
      </c>
      <c r="L410" s="34">
        <v>0</v>
      </c>
      <c r="M410" s="209"/>
      <c r="N410" s="255"/>
    </row>
    <row r="411" spans="1:15" ht="45.75" customHeight="1" x14ac:dyDescent="0.2">
      <c r="A411" s="55"/>
      <c r="B411" s="192"/>
      <c r="C411" s="192"/>
      <c r="D411" s="52" t="s">
        <v>82</v>
      </c>
      <c r="E411" s="255"/>
      <c r="F411" s="34"/>
      <c r="G411" s="34"/>
      <c r="H411" s="45"/>
      <c r="I411" s="166"/>
      <c r="J411" s="45"/>
      <c r="K411" s="45"/>
      <c r="L411" s="34"/>
      <c r="M411" s="209"/>
      <c r="N411" s="255"/>
    </row>
    <row r="412" spans="1:15" ht="80.25" customHeight="1" x14ac:dyDescent="0.2">
      <c r="A412" s="55"/>
      <c r="B412" s="193"/>
      <c r="C412" s="193"/>
      <c r="D412" s="51" t="s">
        <v>29</v>
      </c>
      <c r="E412" s="256"/>
      <c r="F412" s="34"/>
      <c r="G412" s="34"/>
      <c r="H412" s="45"/>
      <c r="I412" s="166"/>
      <c r="J412" s="45"/>
      <c r="K412" s="45"/>
      <c r="L412" s="34"/>
      <c r="M412" s="210"/>
      <c r="N412" s="256"/>
    </row>
    <row r="413" spans="1:15" ht="35.25" customHeight="1" x14ac:dyDescent="0.2">
      <c r="A413" s="200" t="s">
        <v>257</v>
      </c>
      <c r="B413" s="186" t="s">
        <v>151</v>
      </c>
      <c r="C413" s="186" t="s">
        <v>300</v>
      </c>
      <c r="D413" s="51" t="s">
        <v>34</v>
      </c>
      <c r="E413" s="187" t="s">
        <v>55</v>
      </c>
      <c r="F413" s="34"/>
      <c r="G413" s="34">
        <f t="shared" ref="G413:L413" si="85">G414+G415+G416</f>
        <v>15193.4</v>
      </c>
      <c r="H413" s="45">
        <f t="shared" si="85"/>
        <v>3133</v>
      </c>
      <c r="I413" s="166">
        <f t="shared" si="85"/>
        <v>4020.4</v>
      </c>
      <c r="J413" s="45">
        <f>J414+J415+J416</f>
        <v>4020</v>
      </c>
      <c r="K413" s="45">
        <f>K414+K415+K416</f>
        <v>4020</v>
      </c>
      <c r="L413" s="34">
        <f t="shared" si="85"/>
        <v>0</v>
      </c>
      <c r="M413" s="189" t="s">
        <v>265</v>
      </c>
      <c r="N413" s="187" t="s">
        <v>152</v>
      </c>
    </row>
    <row r="414" spans="1:15" ht="72.75" customHeight="1" x14ac:dyDescent="0.2">
      <c r="A414" s="200"/>
      <c r="B414" s="186"/>
      <c r="C414" s="186"/>
      <c r="D414" s="52" t="s">
        <v>27</v>
      </c>
      <c r="E414" s="187"/>
      <c r="F414" s="34"/>
      <c r="G414" s="34">
        <f>H414+I414+J414+K414+L414</f>
        <v>15193.4</v>
      </c>
      <c r="H414" s="120">
        <f>3163-30</f>
        <v>3133</v>
      </c>
      <c r="I414" s="166">
        <f>4020+0.4</f>
        <v>4020.4</v>
      </c>
      <c r="J414" s="45">
        <v>4020</v>
      </c>
      <c r="K414" s="45">
        <v>4020</v>
      </c>
      <c r="L414" s="34">
        <v>0</v>
      </c>
      <c r="M414" s="189"/>
      <c r="N414" s="187"/>
    </row>
    <row r="415" spans="1:15" ht="52.5" customHeight="1" x14ac:dyDescent="0.2">
      <c r="A415" s="200"/>
      <c r="B415" s="186"/>
      <c r="C415" s="186"/>
      <c r="D415" s="56" t="s">
        <v>82</v>
      </c>
      <c r="E415" s="187"/>
      <c r="F415" s="34"/>
      <c r="G415" s="34"/>
      <c r="H415" s="45"/>
      <c r="I415" s="166"/>
      <c r="J415" s="45"/>
      <c r="K415" s="45"/>
      <c r="L415" s="34"/>
      <c r="M415" s="189"/>
      <c r="N415" s="187"/>
    </row>
    <row r="416" spans="1:15" ht="66.75" customHeight="1" x14ac:dyDescent="0.2">
      <c r="A416" s="200"/>
      <c r="B416" s="186"/>
      <c r="C416" s="186"/>
      <c r="D416" s="17" t="s">
        <v>29</v>
      </c>
      <c r="E416" s="187"/>
      <c r="F416" s="34"/>
      <c r="G416" s="34"/>
      <c r="H416" s="45"/>
      <c r="I416" s="166"/>
      <c r="J416" s="45"/>
      <c r="K416" s="45"/>
      <c r="L416" s="34"/>
      <c r="M416" s="189"/>
      <c r="N416" s="187"/>
    </row>
    <row r="417" spans="1:14" ht="44.25" customHeight="1" x14ac:dyDescent="0.2">
      <c r="A417" s="253" t="s">
        <v>279</v>
      </c>
      <c r="B417" s="242" t="s">
        <v>284</v>
      </c>
      <c r="C417" s="178" t="s">
        <v>264</v>
      </c>
      <c r="D417" s="20" t="s">
        <v>34</v>
      </c>
      <c r="E417" s="194"/>
      <c r="F417" s="34"/>
      <c r="G417" s="34">
        <f>G421+G425</f>
        <v>0</v>
      </c>
      <c r="H417" s="45">
        <f>H418+H419+H420</f>
        <v>0</v>
      </c>
      <c r="I417" s="166">
        <f>I421+I425</f>
        <v>0</v>
      </c>
      <c r="J417" s="45">
        <f>J421+J425</f>
        <v>0</v>
      </c>
      <c r="K417" s="45">
        <f>K421+K425</f>
        <v>0</v>
      </c>
      <c r="L417" s="34">
        <f>L421+L425</f>
        <v>0</v>
      </c>
      <c r="M417" s="208" t="s">
        <v>265</v>
      </c>
      <c r="N417" s="194" t="s">
        <v>374</v>
      </c>
    </row>
    <row r="418" spans="1:14" ht="67.5" customHeight="1" x14ac:dyDescent="0.2">
      <c r="A418" s="321"/>
      <c r="B418" s="243"/>
      <c r="C418" s="179"/>
      <c r="D418" s="52" t="s">
        <v>27</v>
      </c>
      <c r="E418" s="195"/>
      <c r="F418" s="34"/>
      <c r="G418" s="34"/>
      <c r="H418" s="45"/>
      <c r="I418" s="166">
        <f>I422+I426+I430</f>
        <v>0</v>
      </c>
      <c r="J418" s="45"/>
      <c r="K418" s="45"/>
      <c r="L418" s="34"/>
      <c r="M418" s="209"/>
      <c r="N418" s="195"/>
    </row>
    <row r="419" spans="1:14" ht="44.25" customHeight="1" x14ac:dyDescent="0.2">
      <c r="A419" s="321"/>
      <c r="B419" s="243"/>
      <c r="C419" s="179"/>
      <c r="D419" s="56" t="s">
        <v>82</v>
      </c>
      <c r="E419" s="195"/>
      <c r="F419" s="34"/>
      <c r="G419" s="34"/>
      <c r="H419" s="45"/>
      <c r="I419" s="166">
        <f>I423+I427+I431</f>
        <v>0</v>
      </c>
      <c r="J419" s="45"/>
      <c r="K419" s="45"/>
      <c r="L419" s="34"/>
      <c r="M419" s="209"/>
      <c r="N419" s="195"/>
    </row>
    <row r="420" spans="1:14" ht="44.25" customHeight="1" x14ac:dyDescent="0.2">
      <c r="A420" s="322"/>
      <c r="B420" s="244"/>
      <c r="C420" s="180"/>
      <c r="D420" s="17" t="s">
        <v>29</v>
      </c>
      <c r="E420" s="196"/>
      <c r="F420" s="34"/>
      <c r="G420" s="34">
        <f>G424+G428</f>
        <v>0</v>
      </c>
      <c r="H420" s="45">
        <f>H424+H428</f>
        <v>0</v>
      </c>
      <c r="I420" s="166">
        <f>I424+I428+I432</f>
        <v>0</v>
      </c>
      <c r="J420" s="45">
        <f>J424+J428</f>
        <v>0</v>
      </c>
      <c r="K420" s="45">
        <f>K424+K428</f>
        <v>0</v>
      </c>
      <c r="L420" s="34"/>
      <c r="M420" s="210"/>
      <c r="N420" s="196"/>
    </row>
    <row r="421" spans="1:14" ht="44.25" customHeight="1" x14ac:dyDescent="0.2">
      <c r="A421" s="53" t="s">
        <v>280</v>
      </c>
      <c r="B421" s="54" t="s">
        <v>282</v>
      </c>
      <c r="C421" s="178" t="s">
        <v>264</v>
      </c>
      <c r="D421" s="20" t="s">
        <v>34</v>
      </c>
      <c r="E421" s="74" t="s">
        <v>17</v>
      </c>
      <c r="F421" s="34"/>
      <c r="G421" s="34">
        <f t="shared" ref="G421:L421" si="86">G422+G423+G424</f>
        <v>0</v>
      </c>
      <c r="H421" s="45">
        <f t="shared" si="86"/>
        <v>0</v>
      </c>
      <c r="I421" s="166">
        <f t="shared" si="86"/>
        <v>0</v>
      </c>
      <c r="J421" s="45">
        <f>J422+J423+J424</f>
        <v>0</v>
      </c>
      <c r="K421" s="45">
        <f>K422+K423+K424</f>
        <v>0</v>
      </c>
      <c r="L421" s="34">
        <f t="shared" si="86"/>
        <v>0</v>
      </c>
      <c r="M421" s="208" t="s">
        <v>265</v>
      </c>
      <c r="N421" s="194" t="s">
        <v>374</v>
      </c>
    </row>
    <row r="422" spans="1:14" ht="68.25" customHeight="1" x14ac:dyDescent="0.2">
      <c r="A422" s="53"/>
      <c r="B422" s="54"/>
      <c r="C422" s="179"/>
      <c r="D422" s="52" t="s">
        <v>27</v>
      </c>
      <c r="E422" s="74"/>
      <c r="F422" s="34"/>
      <c r="G422" s="34"/>
      <c r="H422" s="45"/>
      <c r="I422" s="166"/>
      <c r="J422" s="45"/>
      <c r="K422" s="45"/>
      <c r="L422" s="34"/>
      <c r="M422" s="209"/>
      <c r="N422" s="195"/>
    </row>
    <row r="423" spans="1:14" ht="45" customHeight="1" x14ac:dyDescent="0.2">
      <c r="A423" s="53"/>
      <c r="B423" s="54"/>
      <c r="C423" s="179"/>
      <c r="D423" s="56" t="s">
        <v>82</v>
      </c>
      <c r="E423" s="74"/>
      <c r="F423" s="34"/>
      <c r="G423" s="34"/>
      <c r="H423" s="45"/>
      <c r="I423" s="166"/>
      <c r="J423" s="45"/>
      <c r="K423" s="45"/>
      <c r="L423" s="34"/>
      <c r="M423" s="209"/>
      <c r="N423" s="195"/>
    </row>
    <row r="424" spans="1:14" ht="51.75" customHeight="1" x14ac:dyDescent="0.2">
      <c r="A424" s="53"/>
      <c r="B424" s="54"/>
      <c r="C424" s="180"/>
      <c r="D424" s="17" t="s">
        <v>29</v>
      </c>
      <c r="E424" s="74"/>
      <c r="F424" s="34"/>
      <c r="G424" s="34">
        <f>H424+I424+J424+K424+L424</f>
        <v>0</v>
      </c>
      <c r="H424" s="45">
        <v>0</v>
      </c>
      <c r="I424" s="166">
        <v>0</v>
      </c>
      <c r="J424" s="45">
        <v>0</v>
      </c>
      <c r="K424" s="45">
        <v>0</v>
      </c>
      <c r="L424" s="34"/>
      <c r="M424" s="210"/>
      <c r="N424" s="196"/>
    </row>
    <row r="425" spans="1:14" ht="44.25" customHeight="1" x14ac:dyDescent="0.2">
      <c r="A425" s="252" t="s">
        <v>281</v>
      </c>
      <c r="B425" s="191" t="s">
        <v>283</v>
      </c>
      <c r="C425" s="178" t="s">
        <v>264</v>
      </c>
      <c r="D425" s="20" t="s">
        <v>34</v>
      </c>
      <c r="E425" s="194" t="s">
        <v>18</v>
      </c>
      <c r="F425" s="34"/>
      <c r="G425" s="34">
        <f>G426+G427+G428</f>
        <v>0</v>
      </c>
      <c r="H425" s="45">
        <f>H426+H427+H428</f>
        <v>0</v>
      </c>
      <c r="I425" s="166">
        <f>I426+I427+I428</f>
        <v>0</v>
      </c>
      <c r="J425" s="45">
        <f>J426+J427+J428</f>
        <v>0</v>
      </c>
      <c r="K425" s="45">
        <f>K426+K427+K428</f>
        <v>0</v>
      </c>
      <c r="L425" s="34"/>
      <c r="M425" s="208" t="s">
        <v>265</v>
      </c>
      <c r="N425" s="194" t="s">
        <v>374</v>
      </c>
    </row>
    <row r="426" spans="1:14" ht="44.25" customHeight="1" x14ac:dyDescent="0.2">
      <c r="A426" s="319"/>
      <c r="B426" s="192"/>
      <c r="C426" s="179"/>
      <c r="D426" s="52" t="s">
        <v>27</v>
      </c>
      <c r="E426" s="195"/>
      <c r="F426" s="34"/>
      <c r="G426" s="34"/>
      <c r="H426" s="45"/>
      <c r="I426" s="166"/>
      <c r="J426" s="45"/>
      <c r="K426" s="45"/>
      <c r="L426" s="34"/>
      <c r="M426" s="209"/>
      <c r="N426" s="195"/>
    </row>
    <row r="427" spans="1:14" ht="44.25" customHeight="1" x14ac:dyDescent="0.2">
      <c r="A427" s="319"/>
      <c r="B427" s="192"/>
      <c r="C427" s="179"/>
      <c r="D427" s="56" t="s">
        <v>82</v>
      </c>
      <c r="E427" s="195"/>
      <c r="F427" s="34"/>
      <c r="G427" s="34"/>
      <c r="H427" s="45"/>
      <c r="I427" s="166"/>
      <c r="J427" s="45"/>
      <c r="K427" s="45"/>
      <c r="L427" s="34"/>
      <c r="M427" s="209"/>
      <c r="N427" s="195"/>
    </row>
    <row r="428" spans="1:14" ht="49.5" customHeight="1" x14ac:dyDescent="0.2">
      <c r="A428" s="320"/>
      <c r="B428" s="193"/>
      <c r="C428" s="180"/>
      <c r="D428" s="17" t="s">
        <v>29</v>
      </c>
      <c r="E428" s="196"/>
      <c r="F428" s="34"/>
      <c r="G428" s="34">
        <f>H428+I428+J428+K428+L428</f>
        <v>0</v>
      </c>
      <c r="H428" s="45"/>
      <c r="I428" s="166">
        <v>0</v>
      </c>
      <c r="J428" s="45">
        <v>0</v>
      </c>
      <c r="K428" s="45">
        <v>0</v>
      </c>
      <c r="L428" s="34"/>
      <c r="M428" s="210"/>
      <c r="N428" s="196"/>
    </row>
    <row r="429" spans="1:14" ht="44.25" customHeight="1" x14ac:dyDescent="0.2">
      <c r="A429" s="252" t="s">
        <v>375</v>
      </c>
      <c r="B429" s="191" t="s">
        <v>376</v>
      </c>
      <c r="C429" s="178" t="s">
        <v>264</v>
      </c>
      <c r="D429" s="20" t="s">
        <v>34</v>
      </c>
      <c r="E429" s="194" t="s">
        <v>18</v>
      </c>
      <c r="F429" s="34"/>
      <c r="G429" s="34">
        <f>G430+G431+G432</f>
        <v>0</v>
      </c>
      <c r="H429" s="45">
        <f>H430+H431+H432</f>
        <v>0</v>
      </c>
      <c r="I429" s="166">
        <f>I430+I431+I432</f>
        <v>0</v>
      </c>
      <c r="J429" s="45">
        <f>J430+J431+J432</f>
        <v>0</v>
      </c>
      <c r="K429" s="45">
        <f>K430+K431+K432</f>
        <v>0</v>
      </c>
      <c r="L429" s="34"/>
      <c r="M429" s="208" t="s">
        <v>265</v>
      </c>
      <c r="N429" s="194" t="s">
        <v>374</v>
      </c>
    </row>
    <row r="430" spans="1:14" ht="44.25" customHeight="1" x14ac:dyDescent="0.2">
      <c r="A430" s="319"/>
      <c r="B430" s="192"/>
      <c r="C430" s="179"/>
      <c r="D430" s="52" t="s">
        <v>27</v>
      </c>
      <c r="E430" s="195"/>
      <c r="F430" s="34"/>
      <c r="G430" s="34"/>
      <c r="H430" s="45"/>
      <c r="I430" s="166"/>
      <c r="J430" s="45"/>
      <c r="K430" s="45"/>
      <c r="L430" s="34"/>
      <c r="M430" s="209"/>
      <c r="N430" s="195"/>
    </row>
    <row r="431" spans="1:14" ht="44.25" customHeight="1" x14ac:dyDescent="0.2">
      <c r="A431" s="319"/>
      <c r="B431" s="192"/>
      <c r="C431" s="179"/>
      <c r="D431" s="56" t="s">
        <v>82</v>
      </c>
      <c r="E431" s="195"/>
      <c r="F431" s="34"/>
      <c r="G431" s="34"/>
      <c r="H431" s="45"/>
      <c r="I431" s="166"/>
      <c r="J431" s="45"/>
      <c r="K431" s="45"/>
      <c r="L431" s="34"/>
      <c r="M431" s="209"/>
      <c r="N431" s="195"/>
    </row>
    <row r="432" spans="1:14" ht="49.5" customHeight="1" x14ac:dyDescent="0.2">
      <c r="A432" s="320"/>
      <c r="B432" s="193"/>
      <c r="C432" s="180"/>
      <c r="D432" s="17" t="s">
        <v>29</v>
      </c>
      <c r="E432" s="196"/>
      <c r="F432" s="34"/>
      <c r="G432" s="34">
        <f>H432+I432+J432+K432+L432</f>
        <v>0</v>
      </c>
      <c r="H432" s="45"/>
      <c r="I432" s="166">
        <v>0</v>
      </c>
      <c r="J432" s="45">
        <v>0</v>
      </c>
      <c r="K432" s="45">
        <v>0</v>
      </c>
      <c r="L432" s="34"/>
      <c r="M432" s="210"/>
      <c r="N432" s="196"/>
    </row>
    <row r="433" spans="1:15" ht="28.5" customHeight="1" x14ac:dyDescent="0.2">
      <c r="A433" s="205" t="s">
        <v>364</v>
      </c>
      <c r="B433" s="206" t="s">
        <v>366</v>
      </c>
      <c r="C433" s="197" t="s">
        <v>342</v>
      </c>
      <c r="D433" s="17" t="s">
        <v>34</v>
      </c>
      <c r="E433" s="201"/>
      <c r="F433" s="106"/>
      <c r="G433" s="132">
        <f t="shared" ref="G433:L433" si="87">G434+G435+G436</f>
        <v>687.5</v>
      </c>
      <c r="H433" s="132">
        <f t="shared" si="87"/>
        <v>0</v>
      </c>
      <c r="I433" s="155">
        <f t="shared" si="87"/>
        <v>687.5</v>
      </c>
      <c r="J433" s="132">
        <f t="shared" si="87"/>
        <v>0</v>
      </c>
      <c r="K433" s="132">
        <f t="shared" si="87"/>
        <v>0</v>
      </c>
      <c r="L433" s="132">
        <f t="shared" si="87"/>
        <v>0</v>
      </c>
      <c r="M433" s="201" t="s">
        <v>26</v>
      </c>
      <c r="N433" s="201" t="s">
        <v>363</v>
      </c>
    </row>
    <row r="434" spans="1:15" ht="69.75" customHeight="1" x14ac:dyDescent="0.2">
      <c r="A434" s="205"/>
      <c r="B434" s="206"/>
      <c r="C434" s="197"/>
      <c r="D434" s="17" t="s">
        <v>27</v>
      </c>
      <c r="E434" s="201"/>
      <c r="F434" s="106"/>
      <c r="G434" s="132"/>
      <c r="H434" s="132"/>
      <c r="I434" s="155"/>
      <c r="J434" s="132"/>
      <c r="K434" s="132"/>
      <c r="L434" s="132"/>
      <c r="M434" s="201"/>
      <c r="N434" s="201"/>
    </row>
    <row r="435" spans="1:15" ht="45.75" customHeight="1" x14ac:dyDescent="0.2">
      <c r="A435" s="205"/>
      <c r="B435" s="206"/>
      <c r="C435" s="197"/>
      <c r="D435" s="17" t="s">
        <v>82</v>
      </c>
      <c r="E435" s="201"/>
      <c r="F435" s="106"/>
      <c r="G435" s="132">
        <f t="shared" ref="G435:L435" si="88">G439</f>
        <v>687.5</v>
      </c>
      <c r="H435" s="132">
        <f t="shared" si="88"/>
        <v>0</v>
      </c>
      <c r="I435" s="155">
        <f t="shared" si="88"/>
        <v>687.5</v>
      </c>
      <c r="J435" s="132">
        <f t="shared" si="88"/>
        <v>0</v>
      </c>
      <c r="K435" s="132">
        <f t="shared" si="88"/>
        <v>0</v>
      </c>
      <c r="L435" s="132">
        <f t="shared" si="88"/>
        <v>0</v>
      </c>
      <c r="M435" s="201"/>
      <c r="N435" s="201"/>
    </row>
    <row r="436" spans="1:15" ht="50.25" customHeight="1" x14ac:dyDescent="0.2">
      <c r="A436" s="205"/>
      <c r="B436" s="206"/>
      <c r="C436" s="197"/>
      <c r="D436" s="17" t="s">
        <v>29</v>
      </c>
      <c r="E436" s="201"/>
      <c r="F436" s="26"/>
      <c r="G436" s="133"/>
      <c r="H436" s="133"/>
      <c r="I436" s="154"/>
      <c r="J436" s="133"/>
      <c r="K436" s="133"/>
      <c r="L436" s="133"/>
      <c r="M436" s="201"/>
      <c r="N436" s="201"/>
      <c r="O436" s="103"/>
    </row>
    <row r="437" spans="1:15" ht="28.5" customHeight="1" x14ac:dyDescent="0.2">
      <c r="A437" s="201" t="s">
        <v>365</v>
      </c>
      <c r="B437" s="197" t="s">
        <v>363</v>
      </c>
      <c r="C437" s="197" t="s">
        <v>342</v>
      </c>
      <c r="D437" s="17" t="s">
        <v>34</v>
      </c>
      <c r="E437" s="201"/>
      <c r="F437" s="106"/>
      <c r="G437" s="83">
        <f>G438+G439+G440</f>
        <v>687.5</v>
      </c>
      <c r="H437" s="76"/>
      <c r="I437" s="155">
        <f>I438+I439+I440</f>
        <v>687.5</v>
      </c>
      <c r="J437" s="102"/>
      <c r="K437" s="102"/>
      <c r="L437" s="106"/>
      <c r="M437" s="201" t="s">
        <v>26</v>
      </c>
      <c r="N437" s="201" t="s">
        <v>363</v>
      </c>
    </row>
    <row r="438" spans="1:15" ht="69.75" customHeight="1" x14ac:dyDescent="0.2">
      <c r="A438" s="205"/>
      <c r="B438" s="197"/>
      <c r="C438" s="197"/>
      <c r="D438" s="17" t="s">
        <v>27</v>
      </c>
      <c r="E438" s="201"/>
      <c r="F438" s="106"/>
      <c r="G438" s="83"/>
      <c r="H438" s="76"/>
      <c r="I438" s="155"/>
      <c r="J438" s="102"/>
      <c r="K438" s="102"/>
      <c r="L438" s="106"/>
      <c r="M438" s="201"/>
      <c r="N438" s="201"/>
    </row>
    <row r="439" spans="1:15" ht="51" customHeight="1" x14ac:dyDescent="0.2">
      <c r="A439" s="205"/>
      <c r="B439" s="197"/>
      <c r="C439" s="197"/>
      <c r="D439" s="17" t="s">
        <v>82</v>
      </c>
      <c r="E439" s="201"/>
      <c r="F439" s="106"/>
      <c r="G439" s="83">
        <f>H439+I439+J439+K439+L439</f>
        <v>687.5</v>
      </c>
      <c r="H439" s="76"/>
      <c r="I439" s="155">
        <v>687.5</v>
      </c>
      <c r="J439" s="102"/>
      <c r="K439" s="102"/>
      <c r="L439" s="106"/>
      <c r="M439" s="201"/>
      <c r="N439" s="201"/>
    </row>
    <row r="440" spans="1:15" ht="50.25" customHeight="1" x14ac:dyDescent="0.2">
      <c r="A440" s="205"/>
      <c r="B440" s="197"/>
      <c r="C440" s="197"/>
      <c r="D440" s="17" t="s">
        <v>29</v>
      </c>
      <c r="E440" s="201"/>
      <c r="F440" s="26"/>
      <c r="G440" s="79"/>
      <c r="H440" s="76"/>
      <c r="I440" s="154"/>
      <c r="J440" s="79"/>
      <c r="K440" s="79"/>
      <c r="L440" s="26"/>
      <c r="M440" s="201"/>
      <c r="N440" s="201"/>
      <c r="O440" s="103"/>
    </row>
    <row r="441" spans="1:15" s="3" customFormat="1" ht="47.25" customHeight="1" x14ac:dyDescent="0.4">
      <c r="A441" s="234" t="s">
        <v>153</v>
      </c>
      <c r="B441" s="234"/>
      <c r="C441" s="234"/>
      <c r="D441" s="57" t="s">
        <v>34</v>
      </c>
      <c r="E441" s="205"/>
      <c r="F441" s="136">
        <f t="shared" ref="F441:L441" si="89">F442+F444+F445+F443</f>
        <v>561508.9</v>
      </c>
      <c r="G441" s="136">
        <f t="shared" si="89"/>
        <v>2433025.7392399996</v>
      </c>
      <c r="H441" s="136">
        <f t="shared" si="89"/>
        <v>573685.00000000012</v>
      </c>
      <c r="I441" s="151">
        <f t="shared" si="89"/>
        <v>601270.45924</v>
      </c>
      <c r="J441" s="136">
        <f t="shared" si="89"/>
        <v>572083.64</v>
      </c>
      <c r="K441" s="136">
        <f t="shared" si="89"/>
        <v>572083.64</v>
      </c>
      <c r="L441" s="136">
        <f t="shared" si="89"/>
        <v>113902.99999999999</v>
      </c>
      <c r="M441" s="205"/>
      <c r="N441" s="205"/>
      <c r="O441" s="104">
        <v>567963</v>
      </c>
    </row>
    <row r="442" spans="1:15" s="3" customFormat="1" ht="73.5" customHeight="1" x14ac:dyDescent="0.4">
      <c r="A442" s="234"/>
      <c r="B442" s="234"/>
      <c r="C442" s="234"/>
      <c r="D442" s="28" t="s">
        <v>27</v>
      </c>
      <c r="E442" s="205"/>
      <c r="F442" s="136">
        <f t="shared" ref="F442:L442" si="90">F188+F206+F210+F231+F308+F373+F388+F398+F434+F418+F406</f>
        <v>417162.2</v>
      </c>
      <c r="G442" s="136">
        <f t="shared" si="90"/>
        <v>1867578.4</v>
      </c>
      <c r="H442" s="136">
        <f t="shared" si="90"/>
        <v>476732.4</v>
      </c>
      <c r="I442" s="151">
        <f t="shared" si="90"/>
        <v>461626</v>
      </c>
      <c r="J442" s="136">
        <f t="shared" si="90"/>
        <v>464610</v>
      </c>
      <c r="K442" s="136">
        <f t="shared" si="90"/>
        <v>464610</v>
      </c>
      <c r="L442" s="136">
        <f t="shared" si="90"/>
        <v>0</v>
      </c>
      <c r="M442" s="205"/>
      <c r="N442" s="205"/>
      <c r="O442" s="104">
        <v>460635.4</v>
      </c>
    </row>
    <row r="443" spans="1:15" s="3" customFormat="1" ht="71.25" customHeight="1" x14ac:dyDescent="0.4">
      <c r="A443" s="234"/>
      <c r="B443" s="234"/>
      <c r="C443" s="234"/>
      <c r="D443" s="58" t="s">
        <v>91</v>
      </c>
      <c r="E443" s="205"/>
      <c r="F443" s="136">
        <f t="shared" ref="F443:L443" si="91">F389+F374+F334+F232+F211+F207+F189</f>
        <v>0</v>
      </c>
      <c r="G443" s="136">
        <f t="shared" si="91"/>
        <v>3120.4</v>
      </c>
      <c r="H443" s="136">
        <f t="shared" si="91"/>
        <v>3120.4</v>
      </c>
      <c r="I443" s="151">
        <f t="shared" si="91"/>
        <v>0</v>
      </c>
      <c r="J443" s="136">
        <f t="shared" si="91"/>
        <v>0</v>
      </c>
      <c r="K443" s="136">
        <f t="shared" si="91"/>
        <v>0</v>
      </c>
      <c r="L443" s="136">
        <f t="shared" si="91"/>
        <v>0</v>
      </c>
      <c r="M443" s="205"/>
      <c r="N443" s="205"/>
      <c r="O443" s="104">
        <v>3120.4</v>
      </c>
    </row>
    <row r="444" spans="1:15" s="3" customFormat="1" ht="54" customHeight="1" x14ac:dyDescent="0.4">
      <c r="A444" s="234"/>
      <c r="B444" s="234"/>
      <c r="C444" s="234"/>
      <c r="D444" s="28" t="s">
        <v>82</v>
      </c>
      <c r="E444" s="205"/>
      <c r="F444" s="135">
        <f>F190+F207+F212+F233+F335+F375+F390+F399+F419+F435+F407</f>
        <v>144346.70000000001</v>
      </c>
      <c r="G444" s="135">
        <f>H444+I444+J444+K444+L444</f>
        <v>562326.93923999998</v>
      </c>
      <c r="H444" s="135">
        <f>H190+H207+H212+H233+H335+H375+H390+H399+H419+H435+H407</f>
        <v>93832.200000000012</v>
      </c>
      <c r="I444" s="151">
        <f>I190+I207+I212+I233+I335+I375+I390+I399+I419+I435+I407+0.00306</f>
        <v>139644.45924</v>
      </c>
      <c r="J444" s="135">
        <f>J190+J207+J212+J233+J335+J375+J390+J399+J419+J435+J407</f>
        <v>107473.64000000001</v>
      </c>
      <c r="K444" s="135">
        <f>K190+K207+K212+K233+K335+K375+K390+K399+K419+K435+K407</f>
        <v>107473.64000000001</v>
      </c>
      <c r="L444" s="135">
        <f>L190+L207+L212+L233+L335+L375+L390+L399+L419+L435+L407</f>
        <v>113902.99999999999</v>
      </c>
      <c r="M444" s="205"/>
      <c r="N444" s="205"/>
      <c r="O444" s="104"/>
    </row>
    <row r="445" spans="1:15" s="3" customFormat="1" ht="56.25" customHeight="1" x14ac:dyDescent="0.4">
      <c r="A445" s="234"/>
      <c r="B445" s="234"/>
      <c r="C445" s="234"/>
      <c r="D445" s="28" t="s">
        <v>86</v>
      </c>
      <c r="E445" s="205"/>
      <c r="F445" s="136">
        <f t="shared" ref="F445:L445" si="92">F191+F376+F391+F420</f>
        <v>0</v>
      </c>
      <c r="G445" s="136">
        <f t="shared" si="92"/>
        <v>0</v>
      </c>
      <c r="H445" s="136">
        <f t="shared" si="92"/>
        <v>0</v>
      </c>
      <c r="I445" s="151">
        <f t="shared" si="92"/>
        <v>0</v>
      </c>
      <c r="J445" s="136">
        <f t="shared" si="92"/>
        <v>0</v>
      </c>
      <c r="K445" s="136">
        <f t="shared" si="92"/>
        <v>0</v>
      </c>
      <c r="L445" s="136">
        <f t="shared" si="92"/>
        <v>0</v>
      </c>
      <c r="M445" s="205"/>
      <c r="N445" s="205"/>
      <c r="O445" s="104"/>
    </row>
    <row r="446" spans="1:15" ht="6.75" customHeight="1" x14ac:dyDescent="0.35">
      <c r="A446" s="33"/>
      <c r="B446" s="32"/>
      <c r="C446" s="32"/>
      <c r="D446" s="33"/>
      <c r="E446" s="33"/>
      <c r="F446" s="33"/>
      <c r="G446" s="33"/>
      <c r="H446" s="118"/>
      <c r="I446" s="160"/>
      <c r="J446" s="33"/>
      <c r="K446" s="33"/>
      <c r="L446" s="33"/>
      <c r="M446" s="33"/>
      <c r="N446" s="33"/>
    </row>
    <row r="447" spans="1:15" ht="21" customHeight="1" x14ac:dyDescent="0.35">
      <c r="A447" s="59"/>
      <c r="B447" s="32"/>
      <c r="C447" s="32"/>
      <c r="D447" s="33"/>
      <c r="E447" s="33"/>
      <c r="F447" s="33"/>
      <c r="G447" s="33"/>
      <c r="H447" s="118"/>
      <c r="I447" s="160"/>
      <c r="J447" s="33"/>
      <c r="K447" s="33"/>
      <c r="L447" s="33"/>
      <c r="M447" s="33"/>
      <c r="N447" s="33"/>
    </row>
    <row r="448" spans="1:15" ht="22.5" customHeight="1" x14ac:dyDescent="0.2">
      <c r="A448" s="257"/>
      <c r="B448" s="258"/>
      <c r="C448" s="258"/>
      <c r="D448" s="259"/>
      <c r="E448" s="257"/>
      <c r="F448" s="257"/>
      <c r="G448" s="257"/>
      <c r="H448" s="257"/>
      <c r="I448" s="260"/>
      <c r="J448" s="261"/>
      <c r="K448" s="261"/>
      <c r="L448" s="233" t="s">
        <v>154</v>
      </c>
      <c r="M448" s="233"/>
      <c r="N448" s="233"/>
    </row>
    <row r="449" spans="1:14" ht="22.5" customHeight="1" x14ac:dyDescent="0.2">
      <c r="A449" s="257"/>
      <c r="B449" s="258"/>
      <c r="C449" s="258"/>
      <c r="D449" s="259"/>
      <c r="E449" s="257"/>
      <c r="F449" s="257"/>
      <c r="G449" s="257"/>
      <c r="H449" s="257"/>
      <c r="I449" s="260"/>
      <c r="J449" s="261"/>
      <c r="K449" s="261"/>
      <c r="L449" s="233"/>
      <c r="M449" s="233"/>
      <c r="N449" s="233"/>
    </row>
    <row r="450" spans="1:14" ht="12.75" hidden="1" customHeight="1" x14ac:dyDescent="0.2">
      <c r="A450" s="257"/>
      <c r="B450" s="258"/>
      <c r="C450" s="258"/>
      <c r="D450" s="259"/>
      <c r="E450" s="257"/>
      <c r="F450" s="257"/>
      <c r="G450" s="257"/>
      <c r="H450" s="257"/>
      <c r="I450" s="260"/>
      <c r="J450" s="261"/>
      <c r="K450" s="261"/>
      <c r="L450" s="262"/>
      <c r="M450" s="262"/>
      <c r="N450" s="262"/>
    </row>
    <row r="451" spans="1:14" ht="21.75" customHeight="1" x14ac:dyDescent="0.2">
      <c r="A451" s="233" t="s">
        <v>155</v>
      </c>
      <c r="B451" s="233"/>
      <c r="C451" s="233"/>
      <c r="D451" s="233"/>
      <c r="E451" s="233"/>
      <c r="F451" s="233"/>
      <c r="G451" s="233"/>
      <c r="H451" s="233"/>
      <c r="I451" s="233"/>
      <c r="J451" s="233"/>
      <c r="K451" s="233"/>
      <c r="L451" s="233"/>
      <c r="M451" s="233"/>
      <c r="N451" s="233"/>
    </row>
    <row r="452" spans="1:14" ht="24.75" customHeight="1" thickBot="1" x14ac:dyDescent="0.25">
      <c r="A452" s="263" t="s">
        <v>156</v>
      </c>
      <c r="B452" s="263"/>
      <c r="C452" s="263"/>
      <c r="D452" s="263"/>
      <c r="E452" s="263"/>
      <c r="F452" s="263"/>
      <c r="G452" s="263"/>
      <c r="H452" s="263"/>
      <c r="I452" s="263"/>
      <c r="J452" s="263"/>
      <c r="K452" s="263"/>
      <c r="L452" s="263"/>
      <c r="M452" s="263"/>
      <c r="N452" s="263"/>
    </row>
    <row r="453" spans="1:14" s="3" customFormat="1" ht="126.75" customHeight="1" x14ac:dyDescent="0.2">
      <c r="A453" s="218" t="s">
        <v>6</v>
      </c>
      <c r="B453" s="211" t="s">
        <v>7</v>
      </c>
      <c r="C453" s="211" t="s">
        <v>8</v>
      </c>
      <c r="D453" s="204" t="s">
        <v>9</v>
      </c>
      <c r="E453" s="204" t="s">
        <v>10</v>
      </c>
      <c r="F453" s="10" t="s">
        <v>11</v>
      </c>
      <c r="G453" s="204" t="s">
        <v>12</v>
      </c>
      <c r="H453" s="217" t="s">
        <v>13</v>
      </c>
      <c r="I453" s="217"/>
      <c r="J453" s="217"/>
      <c r="K453" s="217"/>
      <c r="L453" s="217"/>
      <c r="M453" s="204" t="s">
        <v>14</v>
      </c>
      <c r="N453" s="216" t="s">
        <v>15</v>
      </c>
    </row>
    <row r="454" spans="1:14" s="3" customFormat="1" ht="112.5" customHeight="1" x14ac:dyDescent="0.2">
      <c r="A454" s="218"/>
      <c r="B454" s="211"/>
      <c r="C454" s="211"/>
      <c r="D454" s="204"/>
      <c r="E454" s="204"/>
      <c r="F454" s="11" t="s">
        <v>16</v>
      </c>
      <c r="G454" s="204"/>
      <c r="H454" s="116" t="s">
        <v>17</v>
      </c>
      <c r="I454" s="145" t="s">
        <v>18</v>
      </c>
      <c r="J454" s="11" t="s">
        <v>19</v>
      </c>
      <c r="K454" s="11" t="s">
        <v>20</v>
      </c>
      <c r="L454" s="11" t="s">
        <v>21</v>
      </c>
      <c r="M454" s="204"/>
      <c r="N454" s="216"/>
    </row>
    <row r="455" spans="1:14" s="5" customFormat="1" ht="21" customHeight="1" thickBot="1" x14ac:dyDescent="0.25">
      <c r="A455" s="60">
        <v>1</v>
      </c>
      <c r="B455" s="61">
        <v>2</v>
      </c>
      <c r="C455" s="61">
        <v>3</v>
      </c>
      <c r="D455" s="61">
        <v>4</v>
      </c>
      <c r="E455" s="61">
        <v>5</v>
      </c>
      <c r="F455" s="61">
        <v>6</v>
      </c>
      <c r="G455" s="61">
        <v>7</v>
      </c>
      <c r="H455" s="117">
        <v>8</v>
      </c>
      <c r="I455" s="146">
        <v>9</v>
      </c>
      <c r="J455" s="61">
        <v>10</v>
      </c>
      <c r="K455" s="61">
        <v>11</v>
      </c>
      <c r="L455" s="61">
        <v>12</v>
      </c>
      <c r="M455" s="61">
        <v>13</v>
      </c>
      <c r="N455" s="62">
        <v>14</v>
      </c>
    </row>
    <row r="456" spans="1:14" ht="48" customHeight="1" x14ac:dyDescent="0.2">
      <c r="A456" s="264" t="s">
        <v>22</v>
      </c>
      <c r="B456" s="265" t="s">
        <v>290</v>
      </c>
      <c r="C456" s="180" t="s">
        <v>105</v>
      </c>
      <c r="D456" s="20" t="s">
        <v>24</v>
      </c>
      <c r="E456" s="226" t="s">
        <v>55</v>
      </c>
      <c r="F456" s="63">
        <f>F457+F458+F459</f>
        <v>72492.799999999988</v>
      </c>
      <c r="G456" s="63">
        <f>H456+I456+J456+K456+L456</f>
        <v>367199.07963000005</v>
      </c>
      <c r="H456" s="80">
        <f>H457+H458+H459</f>
        <v>74010.87963000001</v>
      </c>
      <c r="I456" s="170">
        <f>I457+I458+I459</f>
        <v>75522.200000000012</v>
      </c>
      <c r="J456" s="98">
        <f>J457+J458+J459</f>
        <v>73926</v>
      </c>
      <c r="K456" s="98">
        <f>K457+K458+K459</f>
        <v>73926</v>
      </c>
      <c r="L456" s="99">
        <f>L457+L458+L459</f>
        <v>69814</v>
      </c>
      <c r="M456" s="230" t="s">
        <v>26</v>
      </c>
      <c r="N456" s="230" t="s">
        <v>233</v>
      </c>
    </row>
    <row r="457" spans="1:14" ht="70.5" customHeight="1" x14ac:dyDescent="0.2">
      <c r="A457" s="264"/>
      <c r="B457" s="266"/>
      <c r="C457" s="180"/>
      <c r="D457" s="17" t="s">
        <v>27</v>
      </c>
      <c r="E457" s="226"/>
      <c r="F457" s="18">
        <f>F461+F493+F477+F497</f>
        <v>2114.3999999999996</v>
      </c>
      <c r="G457" s="18">
        <f t="shared" ref="G457:L457" si="93">G461+G465+G469+G473+G493</f>
        <v>0</v>
      </c>
      <c r="H457" s="76">
        <f>H461+H465+H469+H473+H493+H477+H497+H501</f>
        <v>2900</v>
      </c>
      <c r="I457" s="155">
        <f t="shared" si="93"/>
        <v>0</v>
      </c>
      <c r="J457" s="83">
        <f>J461+J465+J469+J473+J493</f>
        <v>0</v>
      </c>
      <c r="K457" s="83">
        <f>K461+K465+K469+K473+K493</f>
        <v>0</v>
      </c>
      <c r="L457" s="89">
        <f t="shared" si="93"/>
        <v>0</v>
      </c>
      <c r="M457" s="230"/>
      <c r="N457" s="230"/>
    </row>
    <row r="458" spans="1:14" ht="52.5" customHeight="1" x14ac:dyDescent="0.2">
      <c r="A458" s="264"/>
      <c r="B458" s="266"/>
      <c r="C458" s="180"/>
      <c r="D458" s="17" t="s">
        <v>28</v>
      </c>
      <c r="E458" s="226"/>
      <c r="F458" s="18">
        <f>F462+F478+F494+F498</f>
        <v>70378.399999999994</v>
      </c>
      <c r="G458" s="76">
        <f>H458+I458+J458+K458+L458</f>
        <v>364299.07963000005</v>
      </c>
      <c r="H458" s="76">
        <f>H462+H478+H494+H498</f>
        <v>71110.87963000001</v>
      </c>
      <c r="I458" s="155">
        <f>I462+I478+I494+I498+I506+I502</f>
        <v>75522.200000000012</v>
      </c>
      <c r="J458" s="83">
        <f>J462+J478+J494+J498</f>
        <v>73926</v>
      </c>
      <c r="K458" s="83">
        <f>K462+K478+K494+K498</f>
        <v>73926</v>
      </c>
      <c r="L458" s="89">
        <f>L462+L478+L494+L498</f>
        <v>69814</v>
      </c>
      <c r="M458" s="230"/>
      <c r="N458" s="230"/>
    </row>
    <row r="459" spans="1:14" ht="65.25" customHeight="1" x14ac:dyDescent="0.2">
      <c r="A459" s="264"/>
      <c r="B459" s="267"/>
      <c r="C459" s="180"/>
      <c r="D459" s="17" t="s">
        <v>29</v>
      </c>
      <c r="E459" s="226"/>
      <c r="F459" s="18">
        <f>F463+F467+F471+F475+F495</f>
        <v>0</v>
      </c>
      <c r="G459" s="76">
        <f t="shared" ref="G459:L459" si="94">G463+G467+G471+G475+G495</f>
        <v>0</v>
      </c>
      <c r="H459" s="76">
        <f t="shared" si="94"/>
        <v>0</v>
      </c>
      <c r="I459" s="155">
        <f t="shared" si="94"/>
        <v>0</v>
      </c>
      <c r="J459" s="83">
        <f>J463+J467+J471+J475+J495</f>
        <v>0</v>
      </c>
      <c r="K459" s="83">
        <f>K463+K467+K471+K475+K495</f>
        <v>0</v>
      </c>
      <c r="L459" s="89">
        <f t="shared" si="94"/>
        <v>0</v>
      </c>
      <c r="M459" s="230"/>
      <c r="N459" s="230"/>
    </row>
    <row r="460" spans="1:14" ht="45" customHeight="1" x14ac:dyDescent="0.2">
      <c r="A460" s="268" t="s">
        <v>30</v>
      </c>
      <c r="B460" s="180" t="s">
        <v>157</v>
      </c>
      <c r="C460" s="180" t="s">
        <v>158</v>
      </c>
      <c r="D460" s="20" t="s">
        <v>24</v>
      </c>
      <c r="E460" s="226" t="s">
        <v>55</v>
      </c>
      <c r="F460" s="63">
        <f>F461+F462+F463</f>
        <v>9124.2999999999993</v>
      </c>
      <c r="G460" s="80">
        <f>H460+I460+J460+K460+L460</f>
        <v>39461.37963000001</v>
      </c>
      <c r="H460" s="80">
        <f>H461+H462+H463</f>
        <v>6700.0796300000002</v>
      </c>
      <c r="I460" s="170">
        <f>I461+I462+I463</f>
        <v>7607.0000000000018</v>
      </c>
      <c r="J460" s="98">
        <f>J461+J462+J463</f>
        <v>7564.3000000000011</v>
      </c>
      <c r="K460" s="98">
        <f>K461+K462+K463</f>
        <v>7564.3000000000011</v>
      </c>
      <c r="L460" s="99">
        <f>L461+L462+L463</f>
        <v>10025.700000000001</v>
      </c>
      <c r="M460" s="230" t="s">
        <v>26</v>
      </c>
      <c r="N460" s="230" t="s">
        <v>159</v>
      </c>
    </row>
    <row r="461" spans="1:14" ht="69.75" customHeight="1" x14ac:dyDescent="0.2">
      <c r="A461" s="268"/>
      <c r="B461" s="180"/>
      <c r="C461" s="180"/>
      <c r="D461" s="17" t="s">
        <v>27</v>
      </c>
      <c r="E461" s="226"/>
      <c r="F461" s="18"/>
      <c r="G461" s="76"/>
      <c r="H461" s="76"/>
      <c r="I461" s="155"/>
      <c r="J461" s="83"/>
      <c r="K461" s="83"/>
      <c r="L461" s="89"/>
      <c r="M461" s="230"/>
      <c r="N461" s="230"/>
    </row>
    <row r="462" spans="1:14" ht="71.25" customHeight="1" x14ac:dyDescent="0.2">
      <c r="A462" s="268"/>
      <c r="B462" s="180"/>
      <c r="C462" s="180"/>
      <c r="D462" s="17" t="s">
        <v>28</v>
      </c>
      <c r="E462" s="226"/>
      <c r="F462" s="18">
        <f>F466+F474+F470</f>
        <v>9124.2999999999993</v>
      </c>
      <c r="G462" s="76">
        <f>H462+I462+J462+K462+L462</f>
        <v>39461.37963000001</v>
      </c>
      <c r="H462" s="76">
        <f>H466+H474+H470</f>
        <v>6700.0796300000002</v>
      </c>
      <c r="I462" s="155">
        <f>I466+I474+I470</f>
        <v>7607.0000000000018</v>
      </c>
      <c r="J462" s="83">
        <f>J466+J474+J470</f>
        <v>7564.3000000000011</v>
      </c>
      <c r="K462" s="83">
        <f>K466+K474+K470</f>
        <v>7564.3000000000011</v>
      </c>
      <c r="L462" s="89">
        <f>L466+L474+L470</f>
        <v>10025.700000000001</v>
      </c>
      <c r="M462" s="230"/>
      <c r="N462" s="230"/>
    </row>
    <row r="463" spans="1:14" ht="302.25" customHeight="1" x14ac:dyDescent="0.2">
      <c r="A463" s="268"/>
      <c r="B463" s="180"/>
      <c r="C463" s="180"/>
      <c r="D463" s="17" t="s">
        <v>29</v>
      </c>
      <c r="E463" s="226"/>
      <c r="F463" s="18"/>
      <c r="G463" s="76"/>
      <c r="H463" s="76"/>
      <c r="I463" s="148"/>
      <c r="J463" s="76"/>
      <c r="K463" s="76"/>
      <c r="L463" s="18"/>
      <c r="M463" s="230"/>
      <c r="N463" s="230"/>
    </row>
    <row r="464" spans="1:14" ht="48" customHeight="1" x14ac:dyDescent="0.2">
      <c r="A464" s="309" t="s">
        <v>160</v>
      </c>
      <c r="B464" s="178" t="s">
        <v>161</v>
      </c>
      <c r="C464" s="180" t="s">
        <v>162</v>
      </c>
      <c r="D464" s="20" t="s">
        <v>24</v>
      </c>
      <c r="E464" s="226" t="s">
        <v>55</v>
      </c>
      <c r="F464" s="63">
        <f>F465+F466+F467</f>
        <v>7781.1</v>
      </c>
      <c r="G464" s="80">
        <f>H464+I464+J464+K464+L464</f>
        <v>33744.398000000001</v>
      </c>
      <c r="H464" s="80">
        <f>H465+H466+H467</f>
        <v>5638.6980000000003</v>
      </c>
      <c r="I464" s="171">
        <f>I465+I466+I467</f>
        <v>6424.8000000000011</v>
      </c>
      <c r="J464" s="80">
        <f>J465+J466+J467</f>
        <v>6367.1</v>
      </c>
      <c r="K464" s="80">
        <f>K465+K466+K467</f>
        <v>6367.1</v>
      </c>
      <c r="L464" s="63">
        <f>L465+L466+L467</f>
        <v>8946.7000000000007</v>
      </c>
      <c r="M464" s="230" t="s">
        <v>26</v>
      </c>
      <c r="N464" s="230" t="s">
        <v>234</v>
      </c>
    </row>
    <row r="465" spans="1:14" ht="74.25" customHeight="1" x14ac:dyDescent="0.2">
      <c r="A465" s="309"/>
      <c r="B465" s="179"/>
      <c r="C465" s="180"/>
      <c r="D465" s="17" t="s">
        <v>27</v>
      </c>
      <c r="E465" s="226"/>
      <c r="F465" s="18"/>
      <c r="G465" s="76"/>
      <c r="H465" s="76"/>
      <c r="I465" s="148"/>
      <c r="J465" s="76"/>
      <c r="K465" s="76"/>
      <c r="L465" s="18"/>
      <c r="M465" s="230"/>
      <c r="N465" s="230"/>
    </row>
    <row r="466" spans="1:14" ht="45" customHeight="1" x14ac:dyDescent="0.2">
      <c r="A466" s="309"/>
      <c r="B466" s="179"/>
      <c r="C466" s="180"/>
      <c r="D466" s="17" t="s">
        <v>28</v>
      </c>
      <c r="E466" s="226"/>
      <c r="F466" s="18">
        <v>7781.1</v>
      </c>
      <c r="G466" s="76">
        <f>H466+I466+J466+K466+L466</f>
        <v>33744.398000000001</v>
      </c>
      <c r="H466" s="76">
        <f>5633.698+5</f>
        <v>5638.6980000000003</v>
      </c>
      <c r="I466" s="148">
        <f>6367.1+100+0.6-42.9</f>
        <v>6424.8000000000011</v>
      </c>
      <c r="J466" s="76">
        <v>6367.1</v>
      </c>
      <c r="K466" s="76">
        <v>6367.1</v>
      </c>
      <c r="L466" s="18">
        <v>8946.7000000000007</v>
      </c>
      <c r="M466" s="230"/>
      <c r="N466" s="230"/>
    </row>
    <row r="467" spans="1:14" ht="48.75" customHeight="1" x14ac:dyDescent="0.2">
      <c r="A467" s="309"/>
      <c r="B467" s="180"/>
      <c r="C467" s="180"/>
      <c r="D467" s="17" t="s">
        <v>29</v>
      </c>
      <c r="E467" s="226"/>
      <c r="F467" s="18"/>
      <c r="G467" s="76"/>
      <c r="H467" s="76"/>
      <c r="I467" s="148"/>
      <c r="J467" s="76"/>
      <c r="K467" s="76"/>
      <c r="L467" s="18"/>
      <c r="M467" s="230"/>
      <c r="N467" s="230"/>
    </row>
    <row r="468" spans="1:14" ht="48" customHeight="1" x14ac:dyDescent="0.2">
      <c r="A468" s="269" t="s">
        <v>163</v>
      </c>
      <c r="B468" s="180" t="s">
        <v>164</v>
      </c>
      <c r="C468" s="180" t="s">
        <v>162</v>
      </c>
      <c r="D468" s="20" t="s">
        <v>24</v>
      </c>
      <c r="E468" s="226" t="s">
        <v>55</v>
      </c>
      <c r="F468" s="63">
        <f>F469+F470+F471</f>
        <v>1014</v>
      </c>
      <c r="G468" s="80">
        <f>H468+I468+J468+K468+L468</f>
        <v>5288.8316300000006</v>
      </c>
      <c r="H468" s="80">
        <f>H469+H470+H471</f>
        <v>999.13162999999997</v>
      </c>
      <c r="I468" s="171">
        <f>I469+I470+I471</f>
        <v>1081.9000000000001</v>
      </c>
      <c r="J468" s="80">
        <f>J469+J470+J471</f>
        <v>1096.9000000000001</v>
      </c>
      <c r="K468" s="80">
        <f>K469+K470+K471</f>
        <v>1096.9000000000001</v>
      </c>
      <c r="L468" s="63">
        <f>L469+L470+L471</f>
        <v>1014</v>
      </c>
      <c r="M468" s="230" t="s">
        <v>26</v>
      </c>
      <c r="N468" s="230" t="s">
        <v>234</v>
      </c>
    </row>
    <row r="469" spans="1:14" ht="69" customHeight="1" x14ac:dyDescent="0.2">
      <c r="A469" s="269"/>
      <c r="B469" s="180"/>
      <c r="C469" s="180"/>
      <c r="D469" s="17" t="s">
        <v>27</v>
      </c>
      <c r="E469" s="226"/>
      <c r="F469" s="18"/>
      <c r="G469" s="76"/>
      <c r="H469" s="76"/>
      <c r="I469" s="148"/>
      <c r="J469" s="76"/>
      <c r="K469" s="76"/>
      <c r="L469" s="18"/>
      <c r="M469" s="230"/>
      <c r="N469" s="230"/>
    </row>
    <row r="470" spans="1:14" ht="45.75" customHeight="1" x14ac:dyDescent="0.2">
      <c r="A470" s="269"/>
      <c r="B470" s="180"/>
      <c r="C470" s="180"/>
      <c r="D470" s="17" t="s">
        <v>28</v>
      </c>
      <c r="E470" s="226"/>
      <c r="F470" s="18">
        <v>1014</v>
      </c>
      <c r="G470" s="76">
        <f>H470+I470+J470+K470+L470</f>
        <v>5288.8316300000006</v>
      </c>
      <c r="H470" s="76">
        <f>1014-14.86837</f>
        <v>999.13162999999997</v>
      </c>
      <c r="I470" s="148">
        <f>1096.9-15</f>
        <v>1081.9000000000001</v>
      </c>
      <c r="J470" s="76">
        <v>1096.9000000000001</v>
      </c>
      <c r="K470" s="76">
        <v>1096.9000000000001</v>
      </c>
      <c r="L470" s="18">
        <v>1014</v>
      </c>
      <c r="M470" s="230"/>
      <c r="N470" s="230"/>
    </row>
    <row r="471" spans="1:14" ht="65.25" customHeight="1" x14ac:dyDescent="0.2">
      <c r="A471" s="269"/>
      <c r="B471" s="180"/>
      <c r="C471" s="180"/>
      <c r="D471" s="17" t="s">
        <v>29</v>
      </c>
      <c r="E471" s="226"/>
      <c r="F471" s="18"/>
      <c r="G471" s="76"/>
      <c r="H471" s="76"/>
      <c r="I471" s="148"/>
      <c r="J471" s="76"/>
      <c r="K471" s="76"/>
      <c r="L471" s="18"/>
      <c r="M471" s="230"/>
      <c r="N471" s="230"/>
    </row>
    <row r="472" spans="1:14" ht="48" customHeight="1" x14ac:dyDescent="0.2">
      <c r="A472" s="270" t="s">
        <v>165</v>
      </c>
      <c r="B472" s="180" t="s">
        <v>166</v>
      </c>
      <c r="C472" s="180" t="s">
        <v>167</v>
      </c>
      <c r="D472" s="20" t="s">
        <v>24</v>
      </c>
      <c r="E472" s="226" t="s">
        <v>55</v>
      </c>
      <c r="F472" s="63">
        <f>F473+F474+F475</f>
        <v>329.2</v>
      </c>
      <c r="G472" s="80">
        <f>H472+I472+J472+K472+L472</f>
        <v>428.15000000000003</v>
      </c>
      <c r="H472" s="80">
        <f>H473+H474+H475</f>
        <v>62.25</v>
      </c>
      <c r="I472" s="171">
        <f>I473+I474+I475</f>
        <v>100.3</v>
      </c>
      <c r="J472" s="80">
        <f>J473+J474+J475</f>
        <v>100.3</v>
      </c>
      <c r="K472" s="80">
        <f>K473+K474+K475</f>
        <v>100.3</v>
      </c>
      <c r="L472" s="63">
        <f>L473+L474+L475</f>
        <v>65</v>
      </c>
      <c r="M472" s="230" t="s">
        <v>26</v>
      </c>
      <c r="N472" s="230" t="s">
        <v>234</v>
      </c>
    </row>
    <row r="473" spans="1:14" ht="52.5" customHeight="1" x14ac:dyDescent="0.2">
      <c r="A473" s="270"/>
      <c r="B473" s="180"/>
      <c r="C473" s="180"/>
      <c r="D473" s="17" t="s">
        <v>27</v>
      </c>
      <c r="E473" s="226"/>
      <c r="F473" s="18"/>
      <c r="G473" s="76"/>
      <c r="H473" s="76"/>
      <c r="I473" s="148"/>
      <c r="J473" s="76"/>
      <c r="K473" s="76"/>
      <c r="L473" s="18"/>
      <c r="M473" s="230"/>
      <c r="N473" s="230"/>
    </row>
    <row r="474" spans="1:14" ht="46.5" customHeight="1" x14ac:dyDescent="0.2">
      <c r="A474" s="270"/>
      <c r="B474" s="180"/>
      <c r="C474" s="180"/>
      <c r="D474" s="17" t="s">
        <v>28</v>
      </c>
      <c r="E474" s="226"/>
      <c r="F474" s="18">
        <v>329.2</v>
      </c>
      <c r="G474" s="76">
        <f>H474+I474+J474+K474+L474</f>
        <v>428.15000000000003</v>
      </c>
      <c r="H474" s="76">
        <v>62.25</v>
      </c>
      <c r="I474" s="148">
        <v>100.3</v>
      </c>
      <c r="J474" s="76">
        <v>100.3</v>
      </c>
      <c r="K474" s="76">
        <v>100.3</v>
      </c>
      <c r="L474" s="18">
        <v>65</v>
      </c>
      <c r="M474" s="230"/>
      <c r="N474" s="230"/>
    </row>
    <row r="475" spans="1:14" ht="82.5" customHeight="1" x14ac:dyDescent="0.2">
      <c r="A475" s="270"/>
      <c r="B475" s="180"/>
      <c r="C475" s="180"/>
      <c r="D475" s="17" t="s">
        <v>29</v>
      </c>
      <c r="E475" s="226"/>
      <c r="F475" s="18"/>
      <c r="G475" s="76"/>
      <c r="H475" s="76"/>
      <c r="I475" s="148"/>
      <c r="J475" s="76"/>
      <c r="K475" s="76"/>
      <c r="L475" s="18"/>
      <c r="M475" s="230"/>
      <c r="N475" s="230"/>
    </row>
    <row r="476" spans="1:14" ht="48.75" customHeight="1" x14ac:dyDescent="0.2">
      <c r="A476" s="324" t="s">
        <v>32</v>
      </c>
      <c r="B476" s="180" t="s">
        <v>168</v>
      </c>
      <c r="C476" s="197" t="s">
        <v>169</v>
      </c>
      <c r="D476" s="20" t="s">
        <v>34</v>
      </c>
      <c r="E476" s="226" t="s">
        <v>55</v>
      </c>
      <c r="F476" s="81">
        <f>F477+F478+F479</f>
        <v>61411.5</v>
      </c>
      <c r="G476" s="81">
        <f>H476+I476+J476+K476+L476</f>
        <v>316766.7</v>
      </c>
      <c r="H476" s="81">
        <f>H477+H478+H479</f>
        <v>62963.8</v>
      </c>
      <c r="I476" s="172">
        <f>I477+I478+I479</f>
        <v>66126.200000000012</v>
      </c>
      <c r="J476" s="82">
        <f>J477+J478+J479</f>
        <v>64922.7</v>
      </c>
      <c r="K476" s="82">
        <f>K477+K478+K479</f>
        <v>64922.7</v>
      </c>
      <c r="L476" s="97">
        <f>L477+L478+L479</f>
        <v>57831.3</v>
      </c>
      <c r="M476" s="230" t="s">
        <v>26</v>
      </c>
      <c r="N476" s="207" t="s">
        <v>235</v>
      </c>
    </row>
    <row r="477" spans="1:14" ht="45" customHeight="1" x14ac:dyDescent="0.2">
      <c r="A477" s="324"/>
      <c r="B477" s="180"/>
      <c r="C477" s="180"/>
      <c r="D477" s="17" t="s">
        <v>27</v>
      </c>
      <c r="E477" s="226"/>
      <c r="F477" s="21">
        <f>F481+F485+F489</f>
        <v>2114.3999999999996</v>
      </c>
      <c r="G477" s="81">
        <f>H477+I477+J477+K477+L477</f>
        <v>0</v>
      </c>
      <c r="H477" s="81">
        <f t="shared" ref="H477:L478" si="95">H481+H485+H489</f>
        <v>0</v>
      </c>
      <c r="I477" s="172">
        <f t="shared" si="95"/>
        <v>0</v>
      </c>
      <c r="J477" s="82">
        <f>J481+J485+J489</f>
        <v>0</v>
      </c>
      <c r="K477" s="82">
        <f>K481+K485+K489</f>
        <v>0</v>
      </c>
      <c r="L477" s="97">
        <f t="shared" si="95"/>
        <v>0</v>
      </c>
      <c r="M477" s="230"/>
      <c r="N477" s="207"/>
    </row>
    <row r="478" spans="1:14" ht="45.75" customHeight="1" x14ac:dyDescent="0.2">
      <c r="A478" s="324"/>
      <c r="B478" s="180"/>
      <c r="C478" s="180"/>
      <c r="D478" s="17" t="s">
        <v>28</v>
      </c>
      <c r="E478" s="226"/>
      <c r="F478" s="21">
        <f>F482+F486+F490</f>
        <v>59297.1</v>
      </c>
      <c r="G478" s="81">
        <f>H478+I478+J478+K478+L478</f>
        <v>316766.7</v>
      </c>
      <c r="H478" s="81">
        <f t="shared" si="95"/>
        <v>62963.8</v>
      </c>
      <c r="I478" s="172">
        <f>I482+I486+I490</f>
        <v>66126.200000000012</v>
      </c>
      <c r="J478" s="82">
        <f>J482+J486+J490</f>
        <v>64922.7</v>
      </c>
      <c r="K478" s="82">
        <f>K482+K486+K490</f>
        <v>64922.7</v>
      </c>
      <c r="L478" s="97">
        <f t="shared" si="95"/>
        <v>57831.3</v>
      </c>
      <c r="M478" s="230"/>
      <c r="N478" s="207"/>
    </row>
    <row r="479" spans="1:14" ht="139.5" customHeight="1" x14ac:dyDescent="0.2">
      <c r="A479" s="324"/>
      <c r="B479" s="180"/>
      <c r="C479" s="180"/>
      <c r="D479" s="17" t="s">
        <v>29</v>
      </c>
      <c r="E479" s="226"/>
      <c r="F479" s="21"/>
      <c r="G479" s="81"/>
      <c r="H479" s="81"/>
      <c r="I479" s="172"/>
      <c r="J479" s="82"/>
      <c r="K479" s="82"/>
      <c r="L479" s="97"/>
      <c r="M479" s="230"/>
      <c r="N479" s="207"/>
    </row>
    <row r="480" spans="1:14" ht="31.5" customHeight="1" x14ac:dyDescent="0.2">
      <c r="A480" s="271" t="s">
        <v>170</v>
      </c>
      <c r="B480" s="180" t="s">
        <v>161</v>
      </c>
      <c r="C480" s="197" t="s">
        <v>169</v>
      </c>
      <c r="D480" s="20" t="s">
        <v>34</v>
      </c>
      <c r="E480" s="226" t="s">
        <v>55</v>
      </c>
      <c r="F480" s="21">
        <f>F481+F482+F483</f>
        <v>33745.599999999999</v>
      </c>
      <c r="G480" s="81">
        <f>H480+I480+J480+K480+L480</f>
        <v>166386.38</v>
      </c>
      <c r="H480" s="81">
        <f>H481+H482+H483</f>
        <v>32843.08</v>
      </c>
      <c r="I480" s="149">
        <f>I481+I482+I483+I483</f>
        <v>33442.300000000003</v>
      </c>
      <c r="J480" s="81">
        <f>J481+J482+J483+J483</f>
        <v>34442.9</v>
      </c>
      <c r="K480" s="81">
        <f>K481+K482+K483+K483</f>
        <v>34442.9</v>
      </c>
      <c r="L480" s="21">
        <f>L481+L482+L483</f>
        <v>31215.200000000001</v>
      </c>
      <c r="M480" s="230" t="s">
        <v>26</v>
      </c>
      <c r="N480" s="207" t="s">
        <v>235</v>
      </c>
    </row>
    <row r="481" spans="1:14" ht="72.75" customHeight="1" x14ac:dyDescent="0.2">
      <c r="A481" s="271"/>
      <c r="B481" s="180"/>
      <c r="C481" s="180"/>
      <c r="D481" s="17" t="s">
        <v>27</v>
      </c>
      <c r="E481" s="226"/>
      <c r="F481" s="21">
        <v>1163.5</v>
      </c>
      <c r="G481" s="81"/>
      <c r="H481" s="81"/>
      <c r="I481" s="149"/>
      <c r="J481" s="81"/>
      <c r="K481" s="81"/>
      <c r="L481" s="21"/>
      <c r="M481" s="230"/>
      <c r="N481" s="207"/>
    </row>
    <row r="482" spans="1:14" ht="47.25" customHeight="1" x14ac:dyDescent="0.2">
      <c r="A482" s="271"/>
      <c r="B482" s="180"/>
      <c r="C482" s="180"/>
      <c r="D482" s="17" t="s">
        <v>28</v>
      </c>
      <c r="E482" s="226"/>
      <c r="F482" s="21">
        <v>32582.1</v>
      </c>
      <c r="G482" s="81">
        <f>H482+I482+J482+K482+L482</f>
        <v>166386.38</v>
      </c>
      <c r="H482" s="81">
        <f>31215.27+2532.9+764.9-1670+0.01</f>
        <v>32843.08</v>
      </c>
      <c r="I482" s="149">
        <f>34442.9-0.6-1000</f>
        <v>33442.300000000003</v>
      </c>
      <c r="J482" s="81">
        <v>34442.9</v>
      </c>
      <c r="K482" s="81">
        <v>34442.9</v>
      </c>
      <c r="L482" s="21">
        <v>31215.200000000001</v>
      </c>
      <c r="M482" s="230"/>
      <c r="N482" s="207"/>
    </row>
    <row r="483" spans="1:14" ht="125.25" customHeight="1" x14ac:dyDescent="0.2">
      <c r="A483" s="271"/>
      <c r="B483" s="180"/>
      <c r="C483" s="180"/>
      <c r="D483" s="17" t="s">
        <v>29</v>
      </c>
      <c r="E483" s="226"/>
      <c r="F483" s="21"/>
      <c r="G483" s="81"/>
      <c r="H483" s="81"/>
      <c r="I483" s="149"/>
      <c r="J483" s="81"/>
      <c r="K483" s="81"/>
      <c r="L483" s="21"/>
      <c r="M483" s="230"/>
      <c r="N483" s="207"/>
    </row>
    <row r="484" spans="1:14" ht="31.5" customHeight="1" x14ac:dyDescent="0.2">
      <c r="A484" s="271" t="s">
        <v>171</v>
      </c>
      <c r="B484" s="180" t="s">
        <v>172</v>
      </c>
      <c r="C484" s="197" t="s">
        <v>169</v>
      </c>
      <c r="D484" s="20" t="s">
        <v>34</v>
      </c>
      <c r="E484" s="226" t="s">
        <v>55</v>
      </c>
      <c r="F484" s="21">
        <f>F485+F486+F487</f>
        <v>11806.2</v>
      </c>
      <c r="G484" s="81">
        <f>H484+I484+J484+K484+L484</f>
        <v>67493.840000000011</v>
      </c>
      <c r="H484" s="81">
        <f>H485+H486+H487</f>
        <v>13967.04</v>
      </c>
      <c r="I484" s="172">
        <f>I485+I486+I487</f>
        <v>14422.4</v>
      </c>
      <c r="J484" s="82">
        <f>J485+J486+J487</f>
        <v>13218.3</v>
      </c>
      <c r="K484" s="82">
        <f>K485+K486+K487</f>
        <v>13218.3</v>
      </c>
      <c r="L484" s="97">
        <f>L485+L486+L487</f>
        <v>12667.8</v>
      </c>
      <c r="M484" s="230" t="s">
        <v>26</v>
      </c>
      <c r="N484" s="207" t="s">
        <v>235</v>
      </c>
    </row>
    <row r="485" spans="1:14" ht="81" customHeight="1" x14ac:dyDescent="0.2">
      <c r="A485" s="271"/>
      <c r="B485" s="180"/>
      <c r="C485" s="180"/>
      <c r="D485" s="17" t="s">
        <v>27</v>
      </c>
      <c r="E485" s="226"/>
      <c r="F485" s="21">
        <v>407.1</v>
      </c>
      <c r="G485" s="81"/>
      <c r="H485" s="81"/>
      <c r="I485" s="149"/>
      <c r="J485" s="81"/>
      <c r="K485" s="81"/>
      <c r="L485" s="21"/>
      <c r="M485" s="230"/>
      <c r="N485" s="207"/>
    </row>
    <row r="486" spans="1:14" ht="54" customHeight="1" x14ac:dyDescent="0.2">
      <c r="A486" s="271"/>
      <c r="B486" s="180"/>
      <c r="C486" s="180"/>
      <c r="D486" s="17" t="s">
        <v>28</v>
      </c>
      <c r="E486" s="226"/>
      <c r="F486" s="21">
        <v>11399.1</v>
      </c>
      <c r="G486" s="81">
        <f>H486+I486+J486+K486+L486</f>
        <v>67493.840000000011</v>
      </c>
      <c r="H486" s="81">
        <v>13967.04</v>
      </c>
      <c r="I486" s="172">
        <f>13218.3+1204.1</f>
        <v>14422.4</v>
      </c>
      <c r="J486" s="82">
        <v>13218.3</v>
      </c>
      <c r="K486" s="82">
        <v>13218.3</v>
      </c>
      <c r="L486" s="21">
        <v>12667.8</v>
      </c>
      <c r="M486" s="230"/>
      <c r="N486" s="207"/>
    </row>
    <row r="487" spans="1:14" ht="109.5" customHeight="1" x14ac:dyDescent="0.2">
      <c r="A487" s="271"/>
      <c r="B487" s="180"/>
      <c r="C487" s="180"/>
      <c r="D487" s="17" t="s">
        <v>29</v>
      </c>
      <c r="E487" s="226"/>
      <c r="F487" s="21"/>
      <c r="G487" s="81"/>
      <c r="H487" s="81"/>
      <c r="I487" s="149"/>
      <c r="J487" s="81"/>
      <c r="K487" s="81"/>
      <c r="L487" s="21"/>
      <c r="M487" s="230"/>
      <c r="N487" s="207"/>
    </row>
    <row r="488" spans="1:14" ht="31.5" customHeight="1" x14ac:dyDescent="0.2">
      <c r="A488" s="271" t="s">
        <v>173</v>
      </c>
      <c r="B488" s="180" t="s">
        <v>166</v>
      </c>
      <c r="C488" s="197" t="s">
        <v>169</v>
      </c>
      <c r="D488" s="20" t="s">
        <v>34</v>
      </c>
      <c r="E488" s="226" t="s">
        <v>55</v>
      </c>
      <c r="F488" s="21">
        <f>F489+F490</f>
        <v>15859.699999999999</v>
      </c>
      <c r="G488" s="81">
        <f>H488+I488+J488+K488+L488</f>
        <v>82886.48</v>
      </c>
      <c r="H488" s="81">
        <f>H489+H490+H491</f>
        <v>16153.68</v>
      </c>
      <c r="I488" s="172">
        <f>I489+I490+I491</f>
        <v>18261.5</v>
      </c>
      <c r="J488" s="82">
        <f>J489+J490+J491</f>
        <v>17261.5</v>
      </c>
      <c r="K488" s="82">
        <f>K489+K490+K491</f>
        <v>17261.5</v>
      </c>
      <c r="L488" s="21">
        <f>L489+L490+L491</f>
        <v>13948.3</v>
      </c>
      <c r="M488" s="230" t="s">
        <v>26</v>
      </c>
      <c r="N488" s="207" t="s">
        <v>235</v>
      </c>
    </row>
    <row r="489" spans="1:14" ht="67.5" customHeight="1" x14ac:dyDescent="0.2">
      <c r="A489" s="271"/>
      <c r="B489" s="180"/>
      <c r="C489" s="180"/>
      <c r="D489" s="17" t="s">
        <v>27</v>
      </c>
      <c r="E489" s="226"/>
      <c r="F489" s="21">
        <v>543.79999999999995</v>
      </c>
      <c r="G489" s="81"/>
      <c r="H489" s="81"/>
      <c r="I489" s="172"/>
      <c r="J489" s="82"/>
      <c r="K489" s="82"/>
      <c r="L489" s="21"/>
      <c r="M489" s="230"/>
      <c r="N489" s="207"/>
    </row>
    <row r="490" spans="1:14" ht="48.75" customHeight="1" x14ac:dyDescent="0.2">
      <c r="A490" s="271"/>
      <c r="B490" s="180"/>
      <c r="C490" s="180"/>
      <c r="D490" s="17" t="s">
        <v>28</v>
      </c>
      <c r="E490" s="226"/>
      <c r="F490" s="21">
        <v>15315.9</v>
      </c>
      <c r="G490" s="81">
        <f>H490+I490+J490+K490+L490</f>
        <v>82886.48</v>
      </c>
      <c r="H490" s="81">
        <f>14483.68+1670</f>
        <v>16153.68</v>
      </c>
      <c r="I490" s="172">
        <f>17261.5+1000</f>
        <v>18261.5</v>
      </c>
      <c r="J490" s="82">
        <v>17261.5</v>
      </c>
      <c r="K490" s="82">
        <v>17261.5</v>
      </c>
      <c r="L490" s="21">
        <v>13948.3</v>
      </c>
      <c r="M490" s="230"/>
      <c r="N490" s="207"/>
    </row>
    <row r="491" spans="1:14" ht="126" customHeight="1" x14ac:dyDescent="0.2">
      <c r="A491" s="271"/>
      <c r="B491" s="180"/>
      <c r="C491" s="180"/>
      <c r="D491" s="17" t="s">
        <v>29</v>
      </c>
      <c r="E491" s="226"/>
      <c r="F491" s="21"/>
      <c r="G491" s="81"/>
      <c r="H491" s="81"/>
      <c r="I491" s="149"/>
      <c r="J491" s="81"/>
      <c r="K491" s="81"/>
      <c r="L491" s="21"/>
      <c r="M491" s="230"/>
      <c r="N491" s="207"/>
    </row>
    <row r="492" spans="1:14" ht="46.5" customHeight="1" x14ac:dyDescent="0.2">
      <c r="A492" s="270" t="s">
        <v>35</v>
      </c>
      <c r="B492" s="180" t="s">
        <v>397</v>
      </c>
      <c r="C492" s="274" t="s">
        <v>175</v>
      </c>
      <c r="D492" s="20" t="s">
        <v>24</v>
      </c>
      <c r="E492" s="226" t="s">
        <v>55</v>
      </c>
      <c r="F492" s="63">
        <f>F493+F494+F495</f>
        <v>1127</v>
      </c>
      <c r="G492" s="80">
        <f>H492+I492+J492+K492+L492</f>
        <v>5635</v>
      </c>
      <c r="H492" s="80">
        <f>H493+H494+H495</f>
        <v>1127</v>
      </c>
      <c r="I492" s="171">
        <f>I493+I494+I495</f>
        <v>1127</v>
      </c>
      <c r="J492" s="80">
        <f>J493+J494+J495</f>
        <v>1127</v>
      </c>
      <c r="K492" s="80">
        <f>K493+K494+K495</f>
        <v>1127</v>
      </c>
      <c r="L492" s="63">
        <f>L493+L494+L495</f>
        <v>1127</v>
      </c>
      <c r="M492" s="230" t="s">
        <v>26</v>
      </c>
      <c r="N492" s="230" t="s">
        <v>236</v>
      </c>
    </row>
    <row r="493" spans="1:14" ht="72.75" customHeight="1" x14ac:dyDescent="0.2">
      <c r="A493" s="270"/>
      <c r="B493" s="180"/>
      <c r="C493" s="274"/>
      <c r="D493" s="17" t="s">
        <v>27</v>
      </c>
      <c r="E493" s="226"/>
      <c r="F493" s="18"/>
      <c r="G493" s="76"/>
      <c r="H493" s="76"/>
      <c r="I493" s="148"/>
      <c r="J493" s="76"/>
      <c r="K493" s="76"/>
      <c r="L493" s="18"/>
      <c r="M493" s="230"/>
      <c r="N493" s="230"/>
    </row>
    <row r="494" spans="1:14" ht="45.75" customHeight="1" x14ac:dyDescent="0.2">
      <c r="A494" s="270"/>
      <c r="B494" s="180"/>
      <c r="C494" s="274"/>
      <c r="D494" s="17" t="s">
        <v>28</v>
      </c>
      <c r="E494" s="226"/>
      <c r="F494" s="18">
        <v>1127</v>
      </c>
      <c r="G494" s="76">
        <f>H494+I494+J494+K494+L494</f>
        <v>5635</v>
      </c>
      <c r="H494" s="76">
        <v>1127</v>
      </c>
      <c r="I494" s="148">
        <v>1127</v>
      </c>
      <c r="J494" s="76">
        <v>1127</v>
      </c>
      <c r="K494" s="76">
        <v>1127</v>
      </c>
      <c r="L494" s="18">
        <v>1127</v>
      </c>
      <c r="M494" s="230"/>
      <c r="N494" s="230"/>
    </row>
    <row r="495" spans="1:14" ht="48" customHeight="1" x14ac:dyDescent="0.2">
      <c r="A495" s="270"/>
      <c r="B495" s="179"/>
      <c r="C495" s="274"/>
      <c r="D495" s="17" t="s">
        <v>29</v>
      </c>
      <c r="E495" s="226"/>
      <c r="F495" s="18"/>
      <c r="G495" s="76"/>
      <c r="H495" s="76"/>
      <c r="I495" s="148"/>
      <c r="J495" s="76"/>
      <c r="K495" s="76"/>
      <c r="L495" s="18"/>
      <c r="M495" s="230"/>
      <c r="N495" s="230"/>
    </row>
    <row r="496" spans="1:14" ht="37.5" customHeight="1" x14ac:dyDescent="0.2">
      <c r="A496" s="272" t="s">
        <v>38</v>
      </c>
      <c r="B496" s="273" t="s">
        <v>174</v>
      </c>
      <c r="C496" s="274" t="s">
        <v>175</v>
      </c>
      <c r="D496" s="20" t="s">
        <v>34</v>
      </c>
      <c r="E496" s="226" t="s">
        <v>55</v>
      </c>
      <c r="F496" s="21">
        <f>F497+F498+F499</f>
        <v>830</v>
      </c>
      <c r="G496" s="81">
        <f>H496+I496+J496+K496+L496</f>
        <v>2086</v>
      </c>
      <c r="H496" s="81">
        <f>H497+H498+H499</f>
        <v>320</v>
      </c>
      <c r="I496" s="149">
        <f>I497+I498+I499</f>
        <v>312</v>
      </c>
      <c r="J496" s="81">
        <f>J497+J498+J499</f>
        <v>312</v>
      </c>
      <c r="K496" s="81">
        <f>K497+K498+K499</f>
        <v>312</v>
      </c>
      <c r="L496" s="21">
        <f>L497+L498+L499</f>
        <v>830</v>
      </c>
      <c r="M496" s="230" t="s">
        <v>26</v>
      </c>
      <c r="N496" s="207" t="s">
        <v>176</v>
      </c>
    </row>
    <row r="497" spans="1:14" ht="66" customHeight="1" x14ac:dyDescent="0.2">
      <c r="A497" s="272"/>
      <c r="B497" s="273"/>
      <c r="C497" s="274"/>
      <c r="D497" s="17" t="s">
        <v>27</v>
      </c>
      <c r="E497" s="226"/>
      <c r="F497" s="21"/>
      <c r="G497" s="81"/>
      <c r="H497" s="81"/>
      <c r="I497" s="149"/>
      <c r="J497" s="81"/>
      <c r="K497" s="81"/>
      <c r="L497" s="21"/>
      <c r="M497" s="230"/>
      <c r="N497" s="207"/>
    </row>
    <row r="498" spans="1:14" ht="54.75" customHeight="1" x14ac:dyDescent="0.2">
      <c r="A498" s="272"/>
      <c r="B498" s="273"/>
      <c r="C498" s="274"/>
      <c r="D498" s="17" t="s">
        <v>28</v>
      </c>
      <c r="E498" s="226"/>
      <c r="F498" s="21">
        <v>830</v>
      </c>
      <c r="G498" s="81">
        <f>H498+I498+J498+K498+L498</f>
        <v>2086</v>
      </c>
      <c r="H498" s="81">
        <v>320</v>
      </c>
      <c r="I498" s="149">
        <v>312</v>
      </c>
      <c r="J498" s="81">
        <v>312</v>
      </c>
      <c r="K498" s="81">
        <v>312</v>
      </c>
      <c r="L498" s="21">
        <v>830</v>
      </c>
      <c r="M498" s="230"/>
      <c r="N498" s="207"/>
    </row>
    <row r="499" spans="1:14" ht="50.25" customHeight="1" x14ac:dyDescent="0.2">
      <c r="A499" s="272"/>
      <c r="B499" s="273"/>
      <c r="C499" s="274"/>
      <c r="D499" s="17" t="s">
        <v>29</v>
      </c>
      <c r="E499" s="226"/>
      <c r="F499" s="21"/>
      <c r="G499" s="81"/>
      <c r="H499" s="81"/>
      <c r="I499" s="149"/>
      <c r="J499" s="81"/>
      <c r="K499" s="81"/>
      <c r="L499" s="21"/>
      <c r="M499" s="230"/>
      <c r="N499" s="207"/>
    </row>
    <row r="500" spans="1:14" ht="37.5" customHeight="1" x14ac:dyDescent="0.2">
      <c r="A500" s="272" t="s">
        <v>263</v>
      </c>
      <c r="B500" s="273" t="s">
        <v>309</v>
      </c>
      <c r="C500" s="274" t="s">
        <v>76</v>
      </c>
      <c r="D500" s="20" t="s">
        <v>34</v>
      </c>
      <c r="E500" s="226" t="s">
        <v>55</v>
      </c>
      <c r="F500" s="21">
        <f>F501+F502+F503</f>
        <v>0</v>
      </c>
      <c r="G500" s="81">
        <f>H500+I500+J500+K500+L500</f>
        <v>2900</v>
      </c>
      <c r="H500" s="81">
        <f>H501+H502+H503</f>
        <v>2900</v>
      </c>
      <c r="I500" s="149">
        <f>I501+I502+I503</f>
        <v>0</v>
      </c>
      <c r="J500" s="81">
        <f>J501+J502+J503</f>
        <v>0</v>
      </c>
      <c r="K500" s="81">
        <f>K501+K502+K503</f>
        <v>0</v>
      </c>
      <c r="L500" s="21">
        <f>L501+L502+L503</f>
        <v>0</v>
      </c>
      <c r="M500" s="230" t="s">
        <v>26</v>
      </c>
      <c r="N500" s="207" t="s">
        <v>310</v>
      </c>
    </row>
    <row r="501" spans="1:14" ht="75.75" customHeight="1" x14ac:dyDescent="0.2">
      <c r="A501" s="272"/>
      <c r="B501" s="273"/>
      <c r="C501" s="274"/>
      <c r="D501" s="17" t="s">
        <v>27</v>
      </c>
      <c r="E501" s="226"/>
      <c r="F501" s="21"/>
      <c r="G501" s="81">
        <f>H501+I501+J501+K501+L501</f>
        <v>2900</v>
      </c>
      <c r="H501" s="81">
        <v>2900</v>
      </c>
      <c r="I501" s="149"/>
      <c r="J501" s="81"/>
      <c r="K501" s="81"/>
      <c r="L501" s="21"/>
      <c r="M501" s="230"/>
      <c r="N501" s="207"/>
    </row>
    <row r="502" spans="1:14" ht="43.5" customHeight="1" x14ac:dyDescent="0.2">
      <c r="A502" s="272"/>
      <c r="B502" s="273"/>
      <c r="C502" s="274"/>
      <c r="D502" s="17" t="s">
        <v>28</v>
      </c>
      <c r="E502" s="226"/>
      <c r="F502" s="21">
        <v>0</v>
      </c>
      <c r="G502" s="81">
        <f>H502+I502+J502+K502+L502</f>
        <v>0</v>
      </c>
      <c r="H502" s="81">
        <v>0</v>
      </c>
      <c r="I502" s="149">
        <v>0</v>
      </c>
      <c r="J502" s="81">
        <v>0</v>
      </c>
      <c r="K502" s="81">
        <v>0</v>
      </c>
      <c r="L502" s="21">
        <v>0</v>
      </c>
      <c r="M502" s="230"/>
      <c r="N502" s="207"/>
    </row>
    <row r="503" spans="1:14" ht="50.25" customHeight="1" x14ac:dyDescent="0.2">
      <c r="A503" s="272"/>
      <c r="B503" s="273"/>
      <c r="C503" s="274"/>
      <c r="D503" s="17" t="s">
        <v>29</v>
      </c>
      <c r="E503" s="226"/>
      <c r="F503" s="21"/>
      <c r="G503" s="81"/>
      <c r="H503" s="81"/>
      <c r="I503" s="149"/>
      <c r="J503" s="81"/>
      <c r="K503" s="81"/>
      <c r="L503" s="21"/>
      <c r="M503" s="230"/>
      <c r="N503" s="207"/>
    </row>
    <row r="504" spans="1:14" ht="37.5" customHeight="1" x14ac:dyDescent="0.2">
      <c r="A504" s="272" t="s">
        <v>377</v>
      </c>
      <c r="B504" s="273" t="s">
        <v>378</v>
      </c>
      <c r="C504" s="274" t="s">
        <v>175</v>
      </c>
      <c r="D504" s="20" t="s">
        <v>34</v>
      </c>
      <c r="E504" s="226" t="s">
        <v>55</v>
      </c>
      <c r="F504" s="21">
        <f>F505+F506+F507</f>
        <v>0</v>
      </c>
      <c r="G504" s="81">
        <f>H504+I504+J504+K504+L504</f>
        <v>350</v>
      </c>
      <c r="H504" s="81">
        <f>H505+H506+H507</f>
        <v>0</v>
      </c>
      <c r="I504" s="149">
        <f>I505+I506+I507</f>
        <v>350</v>
      </c>
      <c r="J504" s="81">
        <f>J505+J506+J507</f>
        <v>0</v>
      </c>
      <c r="K504" s="81">
        <f>K505+K506+K507</f>
        <v>0</v>
      </c>
      <c r="L504" s="21">
        <f>L505+L506+L507</f>
        <v>0</v>
      </c>
      <c r="M504" s="230" t="s">
        <v>26</v>
      </c>
      <c r="N504" s="273" t="s">
        <v>379</v>
      </c>
    </row>
    <row r="505" spans="1:14" ht="67.5" customHeight="1" x14ac:dyDescent="0.2">
      <c r="A505" s="272"/>
      <c r="B505" s="273"/>
      <c r="C505" s="274"/>
      <c r="D505" s="17" t="s">
        <v>27</v>
      </c>
      <c r="E505" s="226"/>
      <c r="F505" s="21"/>
      <c r="G505" s="81">
        <f>H505+I505+J505+K505+L505</f>
        <v>0</v>
      </c>
      <c r="H505" s="81"/>
      <c r="I505" s="149">
        <v>0</v>
      </c>
      <c r="J505" s="81"/>
      <c r="K505" s="81"/>
      <c r="L505" s="21"/>
      <c r="M505" s="230"/>
      <c r="N505" s="273"/>
    </row>
    <row r="506" spans="1:14" ht="54.75" customHeight="1" x14ac:dyDescent="0.2">
      <c r="A506" s="272"/>
      <c r="B506" s="273"/>
      <c r="C506" s="274"/>
      <c r="D506" s="17" t="s">
        <v>28</v>
      </c>
      <c r="E506" s="226"/>
      <c r="F506" s="21">
        <v>0</v>
      </c>
      <c r="G506" s="81">
        <f>H506+I506+J506+K506+L506</f>
        <v>350</v>
      </c>
      <c r="H506" s="81">
        <v>0</v>
      </c>
      <c r="I506" s="149">
        <v>350</v>
      </c>
      <c r="J506" s="81">
        <v>0</v>
      </c>
      <c r="K506" s="81">
        <v>0</v>
      </c>
      <c r="L506" s="21">
        <v>0</v>
      </c>
      <c r="M506" s="230"/>
      <c r="N506" s="273"/>
    </row>
    <row r="507" spans="1:14" ht="50.25" customHeight="1" x14ac:dyDescent="0.2">
      <c r="A507" s="272"/>
      <c r="B507" s="273"/>
      <c r="C507" s="274"/>
      <c r="D507" s="17" t="s">
        <v>29</v>
      </c>
      <c r="E507" s="226"/>
      <c r="F507" s="21"/>
      <c r="G507" s="81"/>
      <c r="H507" s="81"/>
      <c r="I507" s="149"/>
      <c r="J507" s="81"/>
      <c r="K507" s="81"/>
      <c r="L507" s="21"/>
      <c r="M507" s="230"/>
      <c r="N507" s="273"/>
    </row>
    <row r="508" spans="1:14" ht="41.25" customHeight="1" x14ac:dyDescent="0.2">
      <c r="A508" s="275" t="s">
        <v>42</v>
      </c>
      <c r="B508" s="276" t="s">
        <v>291</v>
      </c>
      <c r="C508" s="197" t="s">
        <v>177</v>
      </c>
      <c r="D508" s="65" t="s">
        <v>24</v>
      </c>
      <c r="E508" s="226" t="s">
        <v>55</v>
      </c>
      <c r="F508" s="63">
        <f>F509+F510+F511</f>
        <v>443</v>
      </c>
      <c r="G508" s="80">
        <f>H508+I508+J508+K508+L508</f>
        <v>1080.22</v>
      </c>
      <c r="H508" s="80">
        <f>H509+H510+H511</f>
        <v>99.62</v>
      </c>
      <c r="I508" s="171">
        <f>I509+I510+I511</f>
        <v>179.2</v>
      </c>
      <c r="J508" s="80">
        <f>J509+J510+J511</f>
        <v>179.2</v>
      </c>
      <c r="K508" s="80">
        <f>K509+K510+K511</f>
        <v>179.2</v>
      </c>
      <c r="L508" s="63">
        <f>L509+L510+L511</f>
        <v>443</v>
      </c>
      <c r="M508" s="230" t="s">
        <v>26</v>
      </c>
      <c r="N508" s="230" t="s">
        <v>178</v>
      </c>
    </row>
    <row r="509" spans="1:14" ht="72.75" customHeight="1" x14ac:dyDescent="0.2">
      <c r="A509" s="275"/>
      <c r="B509" s="276"/>
      <c r="C509" s="197"/>
      <c r="D509" s="66" t="s">
        <v>27</v>
      </c>
      <c r="E509" s="226"/>
      <c r="F509" s="18">
        <f>F513</f>
        <v>0</v>
      </c>
      <c r="G509" s="76">
        <f t="shared" ref="G509:L509" si="96">G513</f>
        <v>0</v>
      </c>
      <c r="H509" s="76">
        <f t="shared" si="96"/>
        <v>0</v>
      </c>
      <c r="I509" s="148">
        <f t="shared" si="96"/>
        <v>0</v>
      </c>
      <c r="J509" s="76">
        <f t="shared" ref="J509:K511" si="97">J513</f>
        <v>0</v>
      </c>
      <c r="K509" s="76">
        <f t="shared" si="97"/>
        <v>0</v>
      </c>
      <c r="L509" s="18">
        <f t="shared" si="96"/>
        <v>0</v>
      </c>
      <c r="M509" s="230"/>
      <c r="N509" s="230"/>
    </row>
    <row r="510" spans="1:14" ht="52.5" customHeight="1" x14ac:dyDescent="0.2">
      <c r="A510" s="275"/>
      <c r="B510" s="276"/>
      <c r="C510" s="197"/>
      <c r="D510" s="66" t="s">
        <v>28</v>
      </c>
      <c r="E510" s="226"/>
      <c r="F510" s="18">
        <f>F514</f>
        <v>443</v>
      </c>
      <c r="G510" s="76">
        <f>H510+I510+J510+K510+L510</f>
        <v>1080.22</v>
      </c>
      <c r="H510" s="76">
        <f t="shared" ref="H510:L511" si="98">H514</f>
        <v>99.62</v>
      </c>
      <c r="I510" s="148">
        <f>I514</f>
        <v>179.2</v>
      </c>
      <c r="J510" s="76">
        <f t="shared" si="97"/>
        <v>179.2</v>
      </c>
      <c r="K510" s="76">
        <f t="shared" si="97"/>
        <v>179.2</v>
      </c>
      <c r="L510" s="18">
        <f t="shared" si="98"/>
        <v>443</v>
      </c>
      <c r="M510" s="230"/>
      <c r="N510" s="230"/>
    </row>
    <row r="511" spans="1:14" ht="45" customHeight="1" x14ac:dyDescent="0.2">
      <c r="A511" s="275"/>
      <c r="B511" s="276"/>
      <c r="C511" s="197"/>
      <c r="D511" s="66" t="s">
        <v>29</v>
      </c>
      <c r="E511" s="226"/>
      <c r="F511" s="18">
        <f>F515</f>
        <v>0</v>
      </c>
      <c r="G511" s="76">
        <f>G515</f>
        <v>0</v>
      </c>
      <c r="H511" s="76">
        <f t="shared" si="98"/>
        <v>0</v>
      </c>
      <c r="I511" s="148">
        <f t="shared" si="98"/>
        <v>0</v>
      </c>
      <c r="J511" s="76">
        <f t="shared" si="97"/>
        <v>0</v>
      </c>
      <c r="K511" s="76">
        <f t="shared" si="97"/>
        <v>0</v>
      </c>
      <c r="L511" s="18">
        <f t="shared" si="98"/>
        <v>0</v>
      </c>
      <c r="M511" s="230"/>
      <c r="N511" s="230"/>
    </row>
    <row r="512" spans="1:14" ht="41.25" customHeight="1" x14ac:dyDescent="0.2">
      <c r="A512" s="270" t="s">
        <v>45</v>
      </c>
      <c r="B512" s="180" t="s">
        <v>301</v>
      </c>
      <c r="C512" s="180" t="s">
        <v>179</v>
      </c>
      <c r="D512" s="20" t="s">
        <v>24</v>
      </c>
      <c r="E512" s="226" t="s">
        <v>55</v>
      </c>
      <c r="F512" s="63">
        <f t="shared" ref="F512:L512" si="99">F513+F514+F515</f>
        <v>443</v>
      </c>
      <c r="G512" s="80">
        <f t="shared" si="99"/>
        <v>1080.22</v>
      </c>
      <c r="H512" s="80">
        <f t="shared" si="99"/>
        <v>99.62</v>
      </c>
      <c r="I512" s="171">
        <f t="shared" si="99"/>
        <v>179.2</v>
      </c>
      <c r="J512" s="80">
        <f>J513+J514+J515</f>
        <v>179.2</v>
      </c>
      <c r="K512" s="80">
        <f>K513+K514+K515</f>
        <v>179.2</v>
      </c>
      <c r="L512" s="63">
        <f t="shared" si="99"/>
        <v>443</v>
      </c>
      <c r="M512" s="230" t="s">
        <v>26</v>
      </c>
      <c r="N512" s="230" t="s">
        <v>180</v>
      </c>
    </row>
    <row r="513" spans="1:14" ht="71.25" customHeight="1" x14ac:dyDescent="0.2">
      <c r="A513" s="270"/>
      <c r="B513" s="180"/>
      <c r="C513" s="180"/>
      <c r="D513" s="17" t="s">
        <v>27</v>
      </c>
      <c r="E513" s="226"/>
      <c r="F513" s="18"/>
      <c r="G513" s="76"/>
      <c r="H513" s="76"/>
      <c r="I513" s="148"/>
      <c r="J513" s="76"/>
      <c r="K513" s="76"/>
      <c r="L513" s="18"/>
      <c r="M513" s="230"/>
      <c r="N513" s="230"/>
    </row>
    <row r="514" spans="1:14" ht="49.5" customHeight="1" x14ac:dyDescent="0.2">
      <c r="A514" s="270"/>
      <c r="B514" s="180"/>
      <c r="C514" s="180"/>
      <c r="D514" s="17" t="s">
        <v>28</v>
      </c>
      <c r="E514" s="226"/>
      <c r="F514" s="18">
        <v>443</v>
      </c>
      <c r="G514" s="76">
        <f>H514+I514+J514+K514+L514</f>
        <v>1080.22</v>
      </c>
      <c r="H514" s="76">
        <v>99.62</v>
      </c>
      <c r="I514" s="148">
        <v>179.2</v>
      </c>
      <c r="J514" s="76">
        <v>179.2</v>
      </c>
      <c r="K514" s="76">
        <v>179.2</v>
      </c>
      <c r="L514" s="18">
        <v>443</v>
      </c>
      <c r="M514" s="230"/>
      <c r="N514" s="230"/>
    </row>
    <row r="515" spans="1:14" ht="55.5" customHeight="1" x14ac:dyDescent="0.2">
      <c r="A515" s="270"/>
      <c r="B515" s="180"/>
      <c r="C515" s="180"/>
      <c r="D515" s="17" t="s">
        <v>29</v>
      </c>
      <c r="E515" s="226"/>
      <c r="F515" s="18"/>
      <c r="G515" s="76"/>
      <c r="H515" s="76"/>
      <c r="I515" s="148"/>
      <c r="J515" s="76"/>
      <c r="K515" s="76"/>
      <c r="L515" s="18"/>
      <c r="M515" s="230"/>
      <c r="N515" s="230"/>
    </row>
    <row r="516" spans="1:14" ht="33" customHeight="1" x14ac:dyDescent="0.2">
      <c r="A516" s="277" t="s">
        <v>102</v>
      </c>
      <c r="B516" s="206" t="s">
        <v>181</v>
      </c>
      <c r="C516" s="197" t="s">
        <v>182</v>
      </c>
      <c r="D516" s="20" t="s">
        <v>24</v>
      </c>
      <c r="E516" s="226" t="s">
        <v>55</v>
      </c>
      <c r="F516" s="18"/>
      <c r="G516" s="76">
        <f t="shared" ref="G516:L516" si="100">G517+G518+G519</f>
        <v>20</v>
      </c>
      <c r="H516" s="76">
        <f t="shared" si="100"/>
        <v>0</v>
      </c>
      <c r="I516" s="148">
        <f t="shared" si="100"/>
        <v>0</v>
      </c>
      <c r="J516" s="76">
        <f>J517+J518+J519</f>
        <v>0</v>
      </c>
      <c r="K516" s="76">
        <f>K517+K518+K519</f>
        <v>0</v>
      </c>
      <c r="L516" s="18">
        <f t="shared" si="100"/>
        <v>20</v>
      </c>
      <c r="M516" s="230" t="s">
        <v>26</v>
      </c>
      <c r="N516" s="207" t="s">
        <v>183</v>
      </c>
    </row>
    <row r="517" spans="1:14" ht="66.75" customHeight="1" x14ac:dyDescent="0.2">
      <c r="A517" s="277"/>
      <c r="B517" s="206"/>
      <c r="C517" s="197"/>
      <c r="D517" s="17" t="s">
        <v>27</v>
      </c>
      <c r="E517" s="226"/>
      <c r="F517" s="18"/>
      <c r="G517" s="76"/>
      <c r="H517" s="76"/>
      <c r="I517" s="148"/>
      <c r="J517" s="76"/>
      <c r="K517" s="76"/>
      <c r="L517" s="18"/>
      <c r="M517" s="230"/>
      <c r="N517" s="207"/>
    </row>
    <row r="518" spans="1:14" ht="47.25" customHeight="1" x14ac:dyDescent="0.2">
      <c r="A518" s="277"/>
      <c r="B518" s="206"/>
      <c r="C518" s="197"/>
      <c r="D518" s="17" t="s">
        <v>28</v>
      </c>
      <c r="E518" s="226"/>
      <c r="F518" s="18"/>
      <c r="G518" s="137">
        <f t="shared" ref="G518:L518" si="101">G522</f>
        <v>20</v>
      </c>
      <c r="H518" s="137">
        <f t="shared" si="101"/>
        <v>0</v>
      </c>
      <c r="I518" s="148">
        <f t="shared" si="101"/>
        <v>0</v>
      </c>
      <c r="J518" s="137">
        <f t="shared" si="101"/>
        <v>0</v>
      </c>
      <c r="K518" s="137">
        <f t="shared" si="101"/>
        <v>0</v>
      </c>
      <c r="L518" s="137">
        <f t="shared" si="101"/>
        <v>20</v>
      </c>
      <c r="M518" s="230"/>
      <c r="N518" s="207"/>
    </row>
    <row r="519" spans="1:14" ht="49.5" customHeight="1" x14ac:dyDescent="0.2">
      <c r="A519" s="277"/>
      <c r="B519" s="206"/>
      <c r="C519" s="197"/>
      <c r="D519" s="17" t="s">
        <v>29</v>
      </c>
      <c r="E519" s="226"/>
      <c r="F519" s="18"/>
      <c r="G519" s="76"/>
      <c r="H519" s="76"/>
      <c r="I519" s="148"/>
      <c r="J519" s="137"/>
      <c r="K519" s="137"/>
      <c r="L519" s="137"/>
      <c r="M519" s="230"/>
      <c r="N519" s="230"/>
    </row>
    <row r="520" spans="1:14" ht="33" customHeight="1" x14ac:dyDescent="0.2">
      <c r="A520" s="278" t="s">
        <v>57</v>
      </c>
      <c r="B520" s="197" t="s">
        <v>369</v>
      </c>
      <c r="C520" s="197" t="s">
        <v>182</v>
      </c>
      <c r="D520" s="20" t="s">
        <v>24</v>
      </c>
      <c r="E520" s="226" t="s">
        <v>55</v>
      </c>
      <c r="F520" s="18"/>
      <c r="G520" s="76">
        <f t="shared" ref="G520:L520" si="102">G521+G522+G523</f>
        <v>20</v>
      </c>
      <c r="H520" s="76">
        <f t="shared" si="102"/>
        <v>0</v>
      </c>
      <c r="I520" s="148">
        <f t="shared" si="102"/>
        <v>0</v>
      </c>
      <c r="J520" s="76">
        <f t="shared" si="102"/>
        <v>0</v>
      </c>
      <c r="K520" s="76">
        <f t="shared" si="102"/>
        <v>0</v>
      </c>
      <c r="L520" s="18">
        <f t="shared" si="102"/>
        <v>20</v>
      </c>
      <c r="M520" s="230" t="s">
        <v>26</v>
      </c>
      <c r="N520" s="207" t="s">
        <v>183</v>
      </c>
    </row>
    <row r="521" spans="1:14" ht="66.75" customHeight="1" x14ac:dyDescent="0.2">
      <c r="A521" s="278"/>
      <c r="B521" s="197"/>
      <c r="C521" s="197"/>
      <c r="D521" s="17" t="s">
        <v>27</v>
      </c>
      <c r="E521" s="226"/>
      <c r="F521" s="18"/>
      <c r="G521" s="76"/>
      <c r="H521" s="76"/>
      <c r="I521" s="148"/>
      <c r="J521" s="76"/>
      <c r="K521" s="76"/>
      <c r="L521" s="18"/>
      <c r="M521" s="230"/>
      <c r="N521" s="207"/>
    </row>
    <row r="522" spans="1:14" ht="47.25" customHeight="1" x14ac:dyDescent="0.2">
      <c r="A522" s="278"/>
      <c r="B522" s="197"/>
      <c r="C522" s="197"/>
      <c r="D522" s="17" t="s">
        <v>28</v>
      </c>
      <c r="E522" s="226"/>
      <c r="F522" s="18"/>
      <c r="G522" s="76">
        <f>H522+I522+J522+K522+L522</f>
        <v>20</v>
      </c>
      <c r="H522" s="76">
        <v>0</v>
      </c>
      <c r="I522" s="148">
        <v>0</v>
      </c>
      <c r="J522" s="76">
        <v>0</v>
      </c>
      <c r="K522" s="76">
        <v>0</v>
      </c>
      <c r="L522" s="18">
        <v>20</v>
      </c>
      <c r="M522" s="230"/>
      <c r="N522" s="207"/>
    </row>
    <row r="523" spans="1:14" ht="49.5" customHeight="1" x14ac:dyDescent="0.2">
      <c r="A523" s="278"/>
      <c r="B523" s="197"/>
      <c r="C523" s="197"/>
      <c r="D523" s="17" t="s">
        <v>29</v>
      </c>
      <c r="E523" s="226"/>
      <c r="F523" s="18"/>
      <c r="G523" s="76"/>
      <c r="H523" s="76"/>
      <c r="I523" s="148"/>
      <c r="J523" s="76"/>
      <c r="K523" s="76"/>
      <c r="L523" s="18"/>
      <c r="M523" s="230"/>
      <c r="N523" s="230"/>
    </row>
    <row r="524" spans="1:14" ht="47.25" customHeight="1" x14ac:dyDescent="0.2">
      <c r="A524" s="279" t="s">
        <v>117</v>
      </c>
      <c r="B524" s="282" t="s">
        <v>184</v>
      </c>
      <c r="C524" s="178" t="s">
        <v>185</v>
      </c>
      <c r="D524" s="20" t="s">
        <v>24</v>
      </c>
      <c r="E524" s="283" t="s">
        <v>55</v>
      </c>
      <c r="F524" s="18">
        <f t="shared" ref="F524:L524" si="103">F525+F526+F527</f>
        <v>55537.399999999994</v>
      </c>
      <c r="G524" s="76">
        <f t="shared" si="103"/>
        <v>336630.2</v>
      </c>
      <c r="H524" s="76">
        <f>H525+H526+H527</f>
        <v>65175</v>
      </c>
      <c r="I524" s="173">
        <f t="shared" si="103"/>
        <v>73534.8</v>
      </c>
      <c r="J524" s="76">
        <f>J525+J526+J527</f>
        <v>67345.5</v>
      </c>
      <c r="K524" s="76">
        <f>K525+K526+K527</f>
        <v>67345.5</v>
      </c>
      <c r="L524" s="18">
        <f t="shared" si="103"/>
        <v>63229.4</v>
      </c>
      <c r="M524" s="285" t="s">
        <v>186</v>
      </c>
      <c r="N524" s="285" t="s">
        <v>187</v>
      </c>
    </row>
    <row r="525" spans="1:14" ht="70.5" customHeight="1" x14ac:dyDescent="0.2">
      <c r="A525" s="280"/>
      <c r="B525" s="266"/>
      <c r="C525" s="179"/>
      <c r="D525" s="17" t="s">
        <v>27</v>
      </c>
      <c r="E525" s="284"/>
      <c r="F525" s="18">
        <f>F529+F533+F537+F541+F545</f>
        <v>2063.1999999999998</v>
      </c>
      <c r="G525" s="76"/>
      <c r="H525" s="76">
        <f>H529+H533+H537+H541+H545</f>
        <v>0</v>
      </c>
      <c r="I525" s="148">
        <f>I529+I533+I537+I541+I545</f>
        <v>0</v>
      </c>
      <c r="J525" s="76">
        <f>J529+J533+J537+J541+J545</f>
        <v>0</v>
      </c>
      <c r="K525" s="76">
        <f>K529+K533+K537+K541+K545</f>
        <v>0</v>
      </c>
      <c r="L525" s="18">
        <f>L529+L533+L537+L541+L545</f>
        <v>0</v>
      </c>
      <c r="M525" s="286"/>
      <c r="N525" s="286"/>
    </row>
    <row r="526" spans="1:14" ht="46.5" customHeight="1" x14ac:dyDescent="0.2">
      <c r="A526" s="280"/>
      <c r="B526" s="266"/>
      <c r="C526" s="179"/>
      <c r="D526" s="17" t="s">
        <v>28</v>
      </c>
      <c r="E526" s="284"/>
      <c r="F526" s="18">
        <f>F530+F534+F538</f>
        <v>53474.2</v>
      </c>
      <c r="G526" s="18">
        <f>H526+I526+J526+K526+L526</f>
        <v>336630.2</v>
      </c>
      <c r="H526" s="76">
        <f>H530+H534+H538+H542+H546</f>
        <v>65175</v>
      </c>
      <c r="I526" s="148">
        <f>I530+I534+I538+I542+I546</f>
        <v>73534.8</v>
      </c>
      <c r="J526" s="76">
        <f>J530+J534+J538+J542+J546</f>
        <v>67345.5</v>
      </c>
      <c r="K526" s="76">
        <f>K530+K534+K538+K542+K546</f>
        <v>67345.5</v>
      </c>
      <c r="L526" s="18">
        <f>L530+L534+L538</f>
        <v>63229.4</v>
      </c>
      <c r="M526" s="286"/>
      <c r="N526" s="286"/>
    </row>
    <row r="527" spans="1:14" ht="51" customHeight="1" x14ac:dyDescent="0.2">
      <c r="A527" s="281"/>
      <c r="B527" s="267"/>
      <c r="C527" s="180"/>
      <c r="D527" s="17" t="s">
        <v>29</v>
      </c>
      <c r="E527" s="226"/>
      <c r="F527" s="18"/>
      <c r="G527" s="18"/>
      <c r="H527" s="76"/>
      <c r="I527" s="148"/>
      <c r="J527" s="76"/>
      <c r="K527" s="76"/>
      <c r="L527" s="18"/>
      <c r="M527" s="230"/>
      <c r="N527" s="230"/>
    </row>
    <row r="528" spans="1:14" ht="50.25" customHeight="1" x14ac:dyDescent="0.2">
      <c r="A528" s="278" t="s">
        <v>118</v>
      </c>
      <c r="B528" s="197" t="s">
        <v>188</v>
      </c>
      <c r="C528" s="197" t="s">
        <v>189</v>
      </c>
      <c r="D528" s="20" t="s">
        <v>24</v>
      </c>
      <c r="E528" s="226" t="s">
        <v>55</v>
      </c>
      <c r="F528" s="18">
        <f t="shared" ref="F528:L528" si="104">F529+F530+F531</f>
        <v>54517.399999999994</v>
      </c>
      <c r="G528" s="18">
        <f t="shared" si="104"/>
        <v>329118.7</v>
      </c>
      <c r="H528" s="76">
        <f t="shared" si="104"/>
        <v>64127.5</v>
      </c>
      <c r="I528" s="148">
        <f t="shared" si="104"/>
        <v>70680.800000000003</v>
      </c>
      <c r="J528" s="76">
        <f>J529+J530+J531</f>
        <v>65975.5</v>
      </c>
      <c r="K528" s="76">
        <f>K529+K530+K531</f>
        <v>65975.5</v>
      </c>
      <c r="L528" s="18">
        <f t="shared" si="104"/>
        <v>62359.4</v>
      </c>
      <c r="M528" s="207" t="s">
        <v>186</v>
      </c>
      <c r="N528" s="207" t="s">
        <v>187</v>
      </c>
    </row>
    <row r="529" spans="1:14" ht="70.5" customHeight="1" x14ac:dyDescent="0.2">
      <c r="A529" s="278"/>
      <c r="B529" s="197"/>
      <c r="C529" s="197"/>
      <c r="D529" s="17" t="s">
        <v>27</v>
      </c>
      <c r="E529" s="226"/>
      <c r="F529" s="18">
        <v>1913.2</v>
      </c>
      <c r="G529" s="18">
        <f>H529+I529+J529+K529+L529</f>
        <v>0</v>
      </c>
      <c r="H529" s="76">
        <v>0</v>
      </c>
      <c r="I529" s="148"/>
      <c r="J529" s="76"/>
      <c r="K529" s="76"/>
      <c r="L529" s="18"/>
      <c r="M529" s="207"/>
      <c r="N529" s="207"/>
    </row>
    <row r="530" spans="1:14" ht="46.5" customHeight="1" x14ac:dyDescent="0.2">
      <c r="A530" s="278"/>
      <c r="B530" s="197"/>
      <c r="C530" s="197"/>
      <c r="D530" s="17" t="s">
        <v>28</v>
      </c>
      <c r="E530" s="226"/>
      <c r="F530" s="18">
        <v>52604.2</v>
      </c>
      <c r="G530" s="18">
        <f>H530+I530+J530+K530+L530</f>
        <v>329118.7</v>
      </c>
      <c r="H530" s="76">
        <f>62346.5+1022+309+450</f>
        <v>64127.5</v>
      </c>
      <c r="I530" s="148">
        <f>65975.5+4705.3</f>
        <v>70680.800000000003</v>
      </c>
      <c r="J530" s="76">
        <f>65975.5</f>
        <v>65975.5</v>
      </c>
      <c r="K530" s="76">
        <f>65975.5</f>
        <v>65975.5</v>
      </c>
      <c r="L530" s="18">
        <v>62359.4</v>
      </c>
      <c r="M530" s="207"/>
      <c r="N530" s="207"/>
    </row>
    <row r="531" spans="1:14" ht="57" customHeight="1" x14ac:dyDescent="0.2">
      <c r="A531" s="278"/>
      <c r="B531" s="197"/>
      <c r="C531" s="197"/>
      <c r="D531" s="17" t="s">
        <v>29</v>
      </c>
      <c r="E531" s="226"/>
      <c r="F531" s="18"/>
      <c r="G531" s="18"/>
      <c r="H531" s="76"/>
      <c r="I531" s="148"/>
      <c r="J531" s="76"/>
      <c r="K531" s="76"/>
      <c r="L531" s="18"/>
      <c r="M531" s="207"/>
      <c r="N531" s="207"/>
    </row>
    <row r="532" spans="1:14" ht="42.75" customHeight="1" x14ac:dyDescent="0.2">
      <c r="A532" s="278" t="s">
        <v>122</v>
      </c>
      <c r="B532" s="197" t="s">
        <v>238</v>
      </c>
      <c r="C532" s="197" t="s">
        <v>105</v>
      </c>
      <c r="D532" s="20" t="s">
        <v>24</v>
      </c>
      <c r="E532" s="226" t="s">
        <v>55</v>
      </c>
      <c r="F532" s="18">
        <f t="shared" ref="F532:L532" si="105">F533+F534+F535</f>
        <v>70</v>
      </c>
      <c r="G532" s="18">
        <f t="shared" si="105"/>
        <v>448.2</v>
      </c>
      <c r="H532" s="76">
        <f t="shared" si="105"/>
        <v>48.2</v>
      </c>
      <c r="I532" s="148">
        <f t="shared" si="105"/>
        <v>190</v>
      </c>
      <c r="J532" s="76">
        <f>J533+J534+J535</f>
        <v>70</v>
      </c>
      <c r="K532" s="76">
        <f>K533+K534+K535</f>
        <v>70</v>
      </c>
      <c r="L532" s="18">
        <f t="shared" si="105"/>
        <v>70</v>
      </c>
      <c r="M532" s="207" t="s">
        <v>186</v>
      </c>
      <c r="N532" s="207" t="s">
        <v>187</v>
      </c>
    </row>
    <row r="533" spans="1:14" ht="68.25" customHeight="1" x14ac:dyDescent="0.2">
      <c r="A533" s="278"/>
      <c r="B533" s="197"/>
      <c r="C533" s="197"/>
      <c r="D533" s="17" t="s">
        <v>27</v>
      </c>
      <c r="E533" s="226"/>
      <c r="F533" s="18"/>
      <c r="G533" s="18"/>
      <c r="H533" s="76"/>
      <c r="I533" s="148"/>
      <c r="J533" s="76"/>
      <c r="K533" s="76"/>
      <c r="L533" s="18"/>
      <c r="M533" s="207"/>
      <c r="N533" s="207"/>
    </row>
    <row r="534" spans="1:14" ht="49.5" customHeight="1" x14ac:dyDescent="0.2">
      <c r="A534" s="278"/>
      <c r="B534" s="197"/>
      <c r="C534" s="197"/>
      <c r="D534" s="17" t="s">
        <v>28</v>
      </c>
      <c r="E534" s="226"/>
      <c r="F534" s="18">
        <v>70</v>
      </c>
      <c r="G534" s="18">
        <f>H534+I534+J534+K534+L534</f>
        <v>448.2</v>
      </c>
      <c r="H534" s="76">
        <f>70-21.8</f>
        <v>48.2</v>
      </c>
      <c r="I534" s="148">
        <f>70+120</f>
        <v>190</v>
      </c>
      <c r="J534" s="76">
        <v>70</v>
      </c>
      <c r="K534" s="76">
        <v>70</v>
      </c>
      <c r="L534" s="18">
        <v>70</v>
      </c>
      <c r="M534" s="207"/>
      <c r="N534" s="207"/>
    </row>
    <row r="535" spans="1:14" ht="52.5" customHeight="1" x14ac:dyDescent="0.2">
      <c r="A535" s="278"/>
      <c r="B535" s="197"/>
      <c r="C535" s="197"/>
      <c r="D535" s="17" t="s">
        <v>29</v>
      </c>
      <c r="E535" s="226"/>
      <c r="F535" s="18"/>
      <c r="G535" s="18"/>
      <c r="H535" s="76"/>
      <c r="I535" s="148"/>
      <c r="J535" s="76"/>
      <c r="K535" s="76"/>
      <c r="L535" s="18"/>
      <c r="M535" s="207"/>
      <c r="N535" s="207"/>
    </row>
    <row r="536" spans="1:14" ht="42.75" customHeight="1" x14ac:dyDescent="0.2">
      <c r="A536" s="278" t="s">
        <v>125</v>
      </c>
      <c r="B536" s="197" t="s">
        <v>347</v>
      </c>
      <c r="C536" s="197" t="s">
        <v>105</v>
      </c>
      <c r="D536" s="20" t="s">
        <v>24</v>
      </c>
      <c r="E536" s="226" t="s">
        <v>55</v>
      </c>
      <c r="F536" s="18">
        <f t="shared" ref="F536:L536" si="106">F537+F538+F539</f>
        <v>950</v>
      </c>
      <c r="G536" s="18">
        <f t="shared" si="106"/>
        <v>5563.3</v>
      </c>
      <c r="H536" s="76">
        <f t="shared" si="106"/>
        <v>999.3</v>
      </c>
      <c r="I536" s="148">
        <f t="shared" si="106"/>
        <v>2164</v>
      </c>
      <c r="J536" s="76">
        <f>J537+J538+J539</f>
        <v>800</v>
      </c>
      <c r="K536" s="76">
        <f>K537+K538+K539</f>
        <v>800</v>
      </c>
      <c r="L536" s="18">
        <f t="shared" si="106"/>
        <v>800</v>
      </c>
      <c r="M536" s="207" t="s">
        <v>186</v>
      </c>
      <c r="N536" s="207" t="s">
        <v>190</v>
      </c>
    </row>
    <row r="537" spans="1:14" ht="66.75" customHeight="1" x14ac:dyDescent="0.2">
      <c r="A537" s="278"/>
      <c r="B537" s="197"/>
      <c r="C537" s="197"/>
      <c r="D537" s="17" t="s">
        <v>27</v>
      </c>
      <c r="E537" s="226"/>
      <c r="F537" s="18">
        <v>150</v>
      </c>
      <c r="G537" s="18"/>
      <c r="H537" s="76"/>
      <c r="I537" s="148"/>
      <c r="J537" s="76"/>
      <c r="K537" s="76"/>
      <c r="L537" s="18"/>
      <c r="M537" s="207"/>
      <c r="N537" s="207"/>
    </row>
    <row r="538" spans="1:14" ht="43.5" customHeight="1" x14ac:dyDescent="0.2">
      <c r="A538" s="278"/>
      <c r="B538" s="197"/>
      <c r="C538" s="197"/>
      <c r="D538" s="17" t="s">
        <v>28</v>
      </c>
      <c r="E538" s="226"/>
      <c r="F538" s="18">
        <v>800</v>
      </c>
      <c r="G538" s="18">
        <f>H538+I538+J538+K538+L538</f>
        <v>5563.3</v>
      </c>
      <c r="H538" s="76">
        <f>800+200-0.7</f>
        <v>999.3</v>
      </c>
      <c r="I538" s="148">
        <f>800+1064+300</f>
        <v>2164</v>
      </c>
      <c r="J538" s="76">
        <v>800</v>
      </c>
      <c r="K538" s="76">
        <v>800</v>
      </c>
      <c r="L538" s="18">
        <v>800</v>
      </c>
      <c r="M538" s="207"/>
      <c r="N538" s="207"/>
    </row>
    <row r="539" spans="1:14" ht="47.25" customHeight="1" x14ac:dyDescent="0.2">
      <c r="A539" s="278"/>
      <c r="B539" s="197"/>
      <c r="C539" s="197"/>
      <c r="D539" s="17" t="s">
        <v>29</v>
      </c>
      <c r="E539" s="226"/>
      <c r="F539" s="18"/>
      <c r="G539" s="18"/>
      <c r="H539" s="76"/>
      <c r="I539" s="148"/>
      <c r="J539" s="76"/>
      <c r="K539" s="76"/>
      <c r="L539" s="18"/>
      <c r="M539" s="207"/>
      <c r="N539" s="207"/>
    </row>
    <row r="540" spans="1:14" ht="47.25" customHeight="1" x14ac:dyDescent="0.2">
      <c r="A540" s="287" t="s">
        <v>129</v>
      </c>
      <c r="B540" s="178" t="s">
        <v>285</v>
      </c>
      <c r="C540" s="178" t="s">
        <v>105</v>
      </c>
      <c r="D540" s="17" t="s">
        <v>34</v>
      </c>
      <c r="E540" s="125" t="s">
        <v>286</v>
      </c>
      <c r="F540" s="18"/>
      <c r="G540" s="18">
        <f t="shared" ref="G540:L540" si="107">G541+G542+G543</f>
        <v>1500</v>
      </c>
      <c r="H540" s="76">
        <f t="shared" si="107"/>
        <v>0</v>
      </c>
      <c r="I540" s="148">
        <f t="shared" si="107"/>
        <v>500</v>
      </c>
      <c r="J540" s="76">
        <f>J541+J542+J543</f>
        <v>500</v>
      </c>
      <c r="K540" s="76">
        <f>K541+K542+K543</f>
        <v>500</v>
      </c>
      <c r="L540" s="18">
        <f t="shared" si="107"/>
        <v>0</v>
      </c>
      <c r="M540" s="285" t="s">
        <v>265</v>
      </c>
      <c r="N540" s="207" t="s">
        <v>187</v>
      </c>
    </row>
    <row r="541" spans="1:14" ht="70.5" customHeight="1" x14ac:dyDescent="0.2">
      <c r="A541" s="288"/>
      <c r="B541" s="179"/>
      <c r="C541" s="179"/>
      <c r="D541" s="17" t="s">
        <v>27</v>
      </c>
      <c r="E541" s="126"/>
      <c r="F541" s="18"/>
      <c r="G541" s="18"/>
      <c r="H541" s="76"/>
      <c r="I541" s="148"/>
      <c r="J541" s="76"/>
      <c r="K541" s="76"/>
      <c r="L541" s="18"/>
      <c r="M541" s="323"/>
      <c r="N541" s="207"/>
    </row>
    <row r="542" spans="1:14" ht="50.25" customHeight="1" x14ac:dyDescent="0.2">
      <c r="A542" s="288"/>
      <c r="B542" s="179"/>
      <c r="C542" s="179"/>
      <c r="D542" s="17" t="s">
        <v>28</v>
      </c>
      <c r="E542" s="126"/>
      <c r="F542" s="18"/>
      <c r="G542" s="18">
        <f>H542+I542+J542+K542+L542</f>
        <v>1500</v>
      </c>
      <c r="H542" s="76">
        <v>0</v>
      </c>
      <c r="I542" s="148">
        <f>500</f>
        <v>500</v>
      </c>
      <c r="J542" s="76">
        <v>500</v>
      </c>
      <c r="K542" s="76">
        <v>500</v>
      </c>
      <c r="L542" s="18"/>
      <c r="M542" s="323"/>
      <c r="N542" s="207"/>
    </row>
    <row r="543" spans="1:14" ht="47.25" customHeight="1" x14ac:dyDescent="0.2">
      <c r="A543" s="289"/>
      <c r="B543" s="180"/>
      <c r="C543" s="180"/>
      <c r="D543" s="17" t="s">
        <v>29</v>
      </c>
      <c r="E543" s="114"/>
      <c r="F543" s="18"/>
      <c r="G543" s="18"/>
      <c r="H543" s="76"/>
      <c r="I543" s="148"/>
      <c r="J543" s="76"/>
      <c r="K543" s="76"/>
      <c r="L543" s="18"/>
      <c r="M543" s="323"/>
      <c r="N543" s="207"/>
    </row>
    <row r="544" spans="1:14" ht="47.25" customHeight="1" x14ac:dyDescent="0.2">
      <c r="A544" s="287" t="s">
        <v>133</v>
      </c>
      <c r="B544" s="178" t="s">
        <v>287</v>
      </c>
      <c r="C544" s="197" t="s">
        <v>105</v>
      </c>
      <c r="D544" s="17" t="s">
        <v>34</v>
      </c>
      <c r="E544" s="283" t="s">
        <v>288</v>
      </c>
      <c r="F544" s="18"/>
      <c r="G544" s="18">
        <f>G545+G546+G547</f>
        <v>0</v>
      </c>
      <c r="H544" s="76"/>
      <c r="I544" s="148">
        <f>I545+I546+I547</f>
        <v>0</v>
      </c>
      <c r="J544" s="76">
        <f>J545+J546+J547</f>
        <v>0</v>
      </c>
      <c r="K544" s="76">
        <f>K545+K546+K547</f>
        <v>0</v>
      </c>
      <c r="L544" s="75"/>
      <c r="M544" s="285" t="s">
        <v>265</v>
      </c>
      <c r="N544" s="207" t="s">
        <v>187</v>
      </c>
    </row>
    <row r="545" spans="1:14" ht="47.25" customHeight="1" x14ac:dyDescent="0.2">
      <c r="A545" s="288"/>
      <c r="B545" s="179"/>
      <c r="C545" s="197"/>
      <c r="D545" s="17" t="s">
        <v>27</v>
      </c>
      <c r="E545" s="284"/>
      <c r="F545" s="18"/>
      <c r="G545" s="18"/>
      <c r="H545" s="76"/>
      <c r="I545" s="148"/>
      <c r="J545" s="76"/>
      <c r="K545" s="76"/>
      <c r="L545" s="75"/>
      <c r="M545" s="323"/>
      <c r="N545" s="207"/>
    </row>
    <row r="546" spans="1:14" ht="47.25" customHeight="1" x14ac:dyDescent="0.2">
      <c r="A546" s="288"/>
      <c r="B546" s="179"/>
      <c r="C546" s="197"/>
      <c r="D546" s="17" t="s">
        <v>28</v>
      </c>
      <c r="E546" s="284"/>
      <c r="F546" s="18"/>
      <c r="G546" s="18">
        <f>H546+I546+J546+K546+L546</f>
        <v>0</v>
      </c>
      <c r="H546" s="76"/>
      <c r="I546" s="148">
        <v>0</v>
      </c>
      <c r="J546" s="76">
        <v>0</v>
      </c>
      <c r="K546" s="76">
        <v>0</v>
      </c>
      <c r="L546" s="75"/>
      <c r="M546" s="323"/>
      <c r="N546" s="207"/>
    </row>
    <row r="547" spans="1:14" ht="47.25" customHeight="1" x14ac:dyDescent="0.2">
      <c r="A547" s="289"/>
      <c r="B547" s="180"/>
      <c r="C547" s="197"/>
      <c r="D547" s="17" t="s">
        <v>29</v>
      </c>
      <c r="E547" s="226"/>
      <c r="F547" s="18"/>
      <c r="G547" s="18"/>
      <c r="H547" s="76"/>
      <c r="I547" s="148"/>
      <c r="J547" s="76"/>
      <c r="K547" s="76"/>
      <c r="L547" s="75"/>
      <c r="M547" s="323"/>
      <c r="N547" s="207"/>
    </row>
    <row r="548" spans="1:14" ht="36.75" customHeight="1" x14ac:dyDescent="0.2">
      <c r="A548" s="277" t="s">
        <v>83</v>
      </c>
      <c r="B548" s="206" t="s">
        <v>370</v>
      </c>
      <c r="C548" s="197" t="s">
        <v>185</v>
      </c>
      <c r="D548" s="20" t="s">
        <v>24</v>
      </c>
      <c r="E548" s="226" t="s">
        <v>55</v>
      </c>
      <c r="F548" s="76">
        <f t="shared" ref="F548:L548" si="108">F549+F550+F551</f>
        <v>0</v>
      </c>
      <c r="G548" s="76">
        <f t="shared" si="108"/>
        <v>86.199999999999989</v>
      </c>
      <c r="H548" s="76">
        <f t="shared" si="108"/>
        <v>0</v>
      </c>
      <c r="I548" s="148">
        <f t="shared" si="108"/>
        <v>86.199999999999989</v>
      </c>
      <c r="J548" s="76">
        <f t="shared" si="108"/>
        <v>0</v>
      </c>
      <c r="K548" s="76">
        <f t="shared" si="108"/>
        <v>0</v>
      </c>
      <c r="L548" s="76">
        <f t="shared" si="108"/>
        <v>0</v>
      </c>
      <c r="M548" s="207" t="s">
        <v>265</v>
      </c>
      <c r="N548" s="207" t="s">
        <v>187</v>
      </c>
    </row>
    <row r="549" spans="1:14" ht="70.5" customHeight="1" x14ac:dyDescent="0.2">
      <c r="A549" s="277"/>
      <c r="B549" s="206"/>
      <c r="C549" s="197"/>
      <c r="D549" s="17" t="s">
        <v>27</v>
      </c>
      <c r="E549" s="226"/>
      <c r="F549" s="76">
        <f t="shared" ref="F549:L551" si="109">F553</f>
        <v>0</v>
      </c>
      <c r="G549" s="76">
        <f t="shared" si="109"/>
        <v>0</v>
      </c>
      <c r="H549" s="76">
        <f t="shared" si="109"/>
        <v>0</v>
      </c>
      <c r="I549" s="148">
        <f t="shared" si="109"/>
        <v>0</v>
      </c>
      <c r="J549" s="76">
        <f t="shared" si="109"/>
        <v>0</v>
      </c>
      <c r="K549" s="76">
        <f t="shared" si="109"/>
        <v>0</v>
      </c>
      <c r="L549" s="76">
        <f t="shared" si="109"/>
        <v>0</v>
      </c>
      <c r="M549" s="207"/>
      <c r="N549" s="207"/>
    </row>
    <row r="550" spans="1:14" ht="58.5" customHeight="1" x14ac:dyDescent="0.2">
      <c r="A550" s="277"/>
      <c r="B550" s="206"/>
      <c r="C550" s="197"/>
      <c r="D550" s="17" t="s">
        <v>28</v>
      </c>
      <c r="E550" s="226"/>
      <c r="F550" s="76">
        <f t="shared" si="109"/>
        <v>0</v>
      </c>
      <c r="G550" s="76">
        <f t="shared" si="109"/>
        <v>86.199999999999989</v>
      </c>
      <c r="H550" s="76">
        <f t="shared" si="109"/>
        <v>0</v>
      </c>
      <c r="I550" s="148">
        <f t="shared" si="109"/>
        <v>86.199999999999989</v>
      </c>
      <c r="J550" s="76">
        <f t="shared" si="109"/>
        <v>0</v>
      </c>
      <c r="K550" s="76">
        <f t="shared" si="109"/>
        <v>0</v>
      </c>
      <c r="L550" s="76">
        <f t="shared" si="109"/>
        <v>0</v>
      </c>
      <c r="M550" s="207"/>
      <c r="N550" s="207"/>
    </row>
    <row r="551" spans="1:14" ht="51" customHeight="1" x14ac:dyDescent="0.2">
      <c r="A551" s="277"/>
      <c r="B551" s="206"/>
      <c r="C551" s="197"/>
      <c r="D551" s="17" t="s">
        <v>29</v>
      </c>
      <c r="E551" s="226"/>
      <c r="F551" s="76">
        <f t="shared" si="109"/>
        <v>0</v>
      </c>
      <c r="G551" s="76">
        <f t="shared" si="109"/>
        <v>0</v>
      </c>
      <c r="H551" s="76">
        <f t="shared" si="109"/>
        <v>0</v>
      </c>
      <c r="I551" s="148">
        <f t="shared" si="109"/>
        <v>0</v>
      </c>
      <c r="J551" s="76">
        <f t="shared" si="109"/>
        <v>0</v>
      </c>
      <c r="K551" s="76">
        <f t="shared" si="109"/>
        <v>0</v>
      </c>
      <c r="L551" s="76">
        <f t="shared" si="109"/>
        <v>0</v>
      </c>
      <c r="M551" s="207"/>
      <c r="N551" s="207"/>
    </row>
    <row r="552" spans="1:14" ht="50.25" customHeight="1" x14ac:dyDescent="0.2">
      <c r="A552" s="278" t="s">
        <v>138</v>
      </c>
      <c r="B552" s="197" t="s">
        <v>371</v>
      </c>
      <c r="C552" s="197" t="s">
        <v>189</v>
      </c>
      <c r="D552" s="20" t="s">
        <v>24</v>
      </c>
      <c r="E552" s="226" t="s">
        <v>55</v>
      </c>
      <c r="F552" s="18"/>
      <c r="G552" s="18">
        <f>G553+G554+G555</f>
        <v>86.199999999999989</v>
      </c>
      <c r="H552" s="76"/>
      <c r="I552" s="148">
        <f>I553+I554+I555</f>
        <v>86.199999999999989</v>
      </c>
      <c r="J552" s="76">
        <f>J553+J554+J555</f>
        <v>0</v>
      </c>
      <c r="K552" s="76">
        <f>K553+K554+K555</f>
        <v>0</v>
      </c>
      <c r="L552" s="75"/>
      <c r="M552" s="207" t="s">
        <v>265</v>
      </c>
      <c r="N552" s="207" t="s">
        <v>187</v>
      </c>
    </row>
    <row r="553" spans="1:14" ht="70.5" customHeight="1" x14ac:dyDescent="0.2">
      <c r="A553" s="278"/>
      <c r="B553" s="197"/>
      <c r="C553" s="197"/>
      <c r="D553" s="17" t="s">
        <v>27</v>
      </c>
      <c r="E553" s="226"/>
      <c r="F553" s="18"/>
      <c r="G553" s="18"/>
      <c r="H553" s="76"/>
      <c r="I553" s="148"/>
      <c r="J553" s="76"/>
      <c r="K553" s="76"/>
      <c r="L553" s="75"/>
      <c r="M553" s="207"/>
      <c r="N553" s="207"/>
    </row>
    <row r="554" spans="1:14" ht="46.5" customHeight="1" x14ac:dyDescent="0.2">
      <c r="A554" s="278"/>
      <c r="B554" s="197"/>
      <c r="C554" s="197"/>
      <c r="D554" s="17" t="s">
        <v>28</v>
      </c>
      <c r="E554" s="226"/>
      <c r="F554" s="18"/>
      <c r="G554" s="18">
        <f>H554+I554+J554+K554+L554</f>
        <v>86.199999999999989</v>
      </c>
      <c r="H554" s="76"/>
      <c r="I554" s="148">
        <f>442-355.8</f>
        <v>86.199999999999989</v>
      </c>
      <c r="J554" s="76">
        <v>0</v>
      </c>
      <c r="K554" s="76">
        <v>0</v>
      </c>
      <c r="L554" s="75"/>
      <c r="M554" s="207"/>
      <c r="N554" s="207"/>
    </row>
    <row r="555" spans="1:14" ht="45.75" customHeight="1" x14ac:dyDescent="0.2">
      <c r="A555" s="278"/>
      <c r="B555" s="197"/>
      <c r="C555" s="197"/>
      <c r="D555" s="17" t="s">
        <v>29</v>
      </c>
      <c r="E555" s="226"/>
      <c r="F555" s="18"/>
      <c r="G555" s="18"/>
      <c r="H555" s="76"/>
      <c r="I555" s="148"/>
      <c r="J555" s="76"/>
      <c r="K555" s="76"/>
      <c r="L555" s="75"/>
      <c r="M555" s="207"/>
      <c r="N555" s="207"/>
    </row>
    <row r="556" spans="1:14" s="3" customFormat="1" ht="45.75" customHeight="1" x14ac:dyDescent="0.2">
      <c r="A556" s="298" t="s">
        <v>191</v>
      </c>
      <c r="B556" s="299"/>
      <c r="C556" s="300"/>
      <c r="D556" s="28" t="s">
        <v>34</v>
      </c>
      <c r="E556" s="292"/>
      <c r="F556" s="22">
        <f t="shared" ref="F556:L556" si="110">F557+F558+F559</f>
        <v>128473.2</v>
      </c>
      <c r="G556" s="22">
        <f>G557+G558+G559</f>
        <v>705015.71963000007</v>
      </c>
      <c r="H556" s="92">
        <f t="shared" si="110"/>
        <v>139285.49963000001</v>
      </c>
      <c r="I556" s="151">
        <f t="shared" si="110"/>
        <v>149322.42000000001</v>
      </c>
      <c r="J556" s="95">
        <f t="shared" si="110"/>
        <v>141450.70000000001</v>
      </c>
      <c r="K556" s="95">
        <f t="shared" si="110"/>
        <v>141450.70000000001</v>
      </c>
      <c r="L556" s="95">
        <f t="shared" si="110"/>
        <v>133506.4</v>
      </c>
      <c r="M556" s="29"/>
      <c r="N556" s="29"/>
    </row>
    <row r="557" spans="1:14" s="3" customFormat="1" ht="71.25" customHeight="1" x14ac:dyDescent="0.2">
      <c r="A557" s="301"/>
      <c r="B557" s="302"/>
      <c r="C557" s="303"/>
      <c r="D557" s="28" t="s">
        <v>27</v>
      </c>
      <c r="E557" s="293"/>
      <c r="F557" s="22">
        <f>F457+F509+F525+F517</f>
        <v>4177.5999999999995</v>
      </c>
      <c r="G557" s="22">
        <f>H557+I557+J557+K557+L557</f>
        <v>2900</v>
      </c>
      <c r="H557" s="92">
        <f>H457+H509</f>
        <v>2900</v>
      </c>
      <c r="I557" s="151">
        <f>I457+I509</f>
        <v>0</v>
      </c>
      <c r="J557" s="22">
        <f>J457+J509</f>
        <v>0</v>
      </c>
      <c r="K557" s="22">
        <f>K457+K509</f>
        <v>0</v>
      </c>
      <c r="L557" s="22">
        <f>L457+L509</f>
        <v>0</v>
      </c>
      <c r="M557" s="30"/>
      <c r="N557" s="295"/>
    </row>
    <row r="558" spans="1:14" s="3" customFormat="1" ht="60.75" customHeight="1" x14ac:dyDescent="0.2">
      <c r="A558" s="301"/>
      <c r="B558" s="302"/>
      <c r="C558" s="303"/>
      <c r="D558" s="28" t="s">
        <v>82</v>
      </c>
      <c r="E558" s="293"/>
      <c r="F558" s="22">
        <f>F458+F510+F518+F526</f>
        <v>124295.59999999999</v>
      </c>
      <c r="G558" s="22">
        <f>H558+I558+J558+K558+L558</f>
        <v>702115.71963000007</v>
      </c>
      <c r="H558" s="92">
        <f>H458+H510+H518+H526</f>
        <v>136385.49963000001</v>
      </c>
      <c r="I558" s="151">
        <f>I458+I510+I518+I526+I550+0.02</f>
        <v>149322.42000000001</v>
      </c>
      <c r="J558" s="84">
        <f>J458+J510+J518+J526</f>
        <v>141450.70000000001</v>
      </c>
      <c r="K558" s="84">
        <f>K458+K510+K518+K526</f>
        <v>141450.70000000001</v>
      </c>
      <c r="L558" s="84">
        <f>L458+L510+L518+L526</f>
        <v>133506.4</v>
      </c>
      <c r="M558" s="30"/>
      <c r="N558" s="296"/>
    </row>
    <row r="559" spans="1:14" s="3" customFormat="1" ht="55.5" customHeight="1" x14ac:dyDescent="0.2">
      <c r="A559" s="304"/>
      <c r="B559" s="305"/>
      <c r="C559" s="306"/>
      <c r="D559" s="28" t="s">
        <v>86</v>
      </c>
      <c r="E559" s="294"/>
      <c r="F559" s="22">
        <f>F459+F511</f>
        <v>0</v>
      </c>
      <c r="G559" s="22">
        <f>H559+I559+J559+K559+L559</f>
        <v>0</v>
      </c>
      <c r="H559" s="92">
        <f>H459+H511</f>
        <v>0</v>
      </c>
      <c r="I559" s="151">
        <f>I459+I511</f>
        <v>0</v>
      </c>
      <c r="J559" s="22">
        <f>J459+J511</f>
        <v>0</v>
      </c>
      <c r="K559" s="22">
        <f>K459+K511</f>
        <v>0</v>
      </c>
      <c r="L559" s="22">
        <f>L459+L511</f>
        <v>0</v>
      </c>
      <c r="M559" s="30"/>
      <c r="N559" s="297"/>
    </row>
    <row r="560" spans="1:14" s="3" customFormat="1" ht="12" customHeight="1" x14ac:dyDescent="0.2">
      <c r="A560" s="67"/>
      <c r="B560" s="67"/>
      <c r="C560" s="67"/>
      <c r="D560" s="68"/>
      <c r="E560" s="69"/>
      <c r="F560" s="70"/>
      <c r="G560" s="70"/>
      <c r="H560" s="121"/>
      <c r="I560" s="174"/>
      <c r="J560" s="70"/>
      <c r="K560" s="70"/>
      <c r="L560" s="70"/>
      <c r="M560" s="71"/>
      <c r="N560" s="68"/>
    </row>
    <row r="561" spans="1:19" ht="1.5" customHeight="1" x14ac:dyDescent="0.25">
      <c r="A561" s="325"/>
      <c r="B561" s="325"/>
      <c r="C561" s="325"/>
      <c r="D561" s="325"/>
      <c r="E561" s="325"/>
      <c r="F561" s="325"/>
      <c r="G561" s="325"/>
      <c r="H561" s="325"/>
      <c r="I561" s="325"/>
      <c r="J561" s="325"/>
      <c r="K561" s="325"/>
      <c r="L561" s="325"/>
      <c r="M561" s="325"/>
      <c r="N561" s="325"/>
      <c r="O561" s="190"/>
      <c r="P561" s="190"/>
      <c r="Q561" s="190"/>
      <c r="R561" s="6"/>
      <c r="S561" s="7"/>
    </row>
    <row r="562" spans="1:19" ht="6.75" hidden="1" customHeight="1" x14ac:dyDescent="0.35">
      <c r="A562" s="72"/>
      <c r="B562" s="73"/>
      <c r="C562" s="73"/>
      <c r="D562" s="72"/>
      <c r="E562" s="72"/>
      <c r="F562" s="72"/>
      <c r="G562" s="72"/>
      <c r="H562" s="122"/>
      <c r="I562" s="175"/>
      <c r="J562" s="72"/>
      <c r="K562" s="72"/>
      <c r="L562" s="72"/>
      <c r="M562" s="72"/>
      <c r="N562" s="72"/>
      <c r="O562" s="8"/>
      <c r="P562" s="8"/>
      <c r="Q562" s="8"/>
      <c r="R562" s="8"/>
      <c r="S562" s="8"/>
    </row>
    <row r="563" spans="1:19" ht="15.75" hidden="1" customHeight="1" x14ac:dyDescent="0.35">
      <c r="A563" s="59"/>
      <c r="B563" s="32"/>
      <c r="C563" s="32"/>
      <c r="D563" s="33"/>
      <c r="E563" s="33"/>
      <c r="F563" s="33"/>
      <c r="G563" s="33"/>
      <c r="H563" s="118"/>
      <c r="I563" s="160"/>
      <c r="J563" s="33"/>
      <c r="K563" s="33"/>
      <c r="L563" s="33"/>
      <c r="M563" s="33"/>
      <c r="N563" s="33"/>
    </row>
    <row r="564" spans="1:19" ht="22.5" customHeight="1" x14ac:dyDescent="0.35">
      <c r="A564" s="290"/>
      <c r="B564" s="291"/>
      <c r="C564" s="291"/>
      <c r="D564" s="290"/>
      <c r="E564" s="115"/>
      <c r="F564" s="290"/>
      <c r="G564" s="290"/>
      <c r="H564" s="115"/>
      <c r="I564" s="176"/>
      <c r="J564" s="307" t="s">
        <v>192</v>
      </c>
      <c r="K564" s="307"/>
      <c r="L564" s="307"/>
      <c r="M564" s="307"/>
      <c r="N564" s="307"/>
    </row>
    <row r="565" spans="1:19" ht="20.25" customHeight="1" x14ac:dyDescent="0.35">
      <c r="A565" s="290"/>
      <c r="B565" s="291"/>
      <c r="C565" s="291"/>
      <c r="D565" s="290"/>
      <c r="E565" s="115"/>
      <c r="F565" s="290"/>
      <c r="G565" s="290"/>
      <c r="H565" s="115"/>
      <c r="I565" s="176"/>
      <c r="J565" s="307" t="s">
        <v>193</v>
      </c>
      <c r="K565" s="307"/>
      <c r="L565" s="307"/>
      <c r="M565" s="307"/>
      <c r="N565" s="307"/>
    </row>
    <row r="566" spans="1:19" ht="7.5" customHeight="1" x14ac:dyDescent="0.35">
      <c r="A566" s="290"/>
      <c r="B566" s="291"/>
      <c r="C566" s="291"/>
      <c r="D566" s="290"/>
      <c r="E566" s="115"/>
      <c r="F566" s="290"/>
      <c r="G566" s="290"/>
      <c r="H566" s="115"/>
      <c r="I566" s="176"/>
      <c r="J566" s="307"/>
      <c r="K566" s="307"/>
      <c r="L566" s="307"/>
      <c r="M566" s="307"/>
      <c r="N566" s="307"/>
    </row>
    <row r="567" spans="1:19" ht="19.5" customHeight="1" x14ac:dyDescent="0.35">
      <c r="A567" s="308" t="s">
        <v>194</v>
      </c>
      <c r="B567" s="308"/>
      <c r="C567" s="308"/>
      <c r="D567" s="308"/>
      <c r="E567" s="308"/>
      <c r="F567" s="308"/>
      <c r="G567" s="308"/>
      <c r="H567" s="308"/>
      <c r="I567" s="308"/>
      <c r="J567" s="308"/>
      <c r="K567" s="308"/>
      <c r="L567" s="308"/>
      <c r="M567" s="308"/>
      <c r="N567" s="308"/>
    </row>
    <row r="568" spans="1:19" s="3" customFormat="1" ht="135" customHeight="1" x14ac:dyDescent="0.2">
      <c r="A568" s="218" t="s">
        <v>6</v>
      </c>
      <c r="B568" s="211" t="s">
        <v>7</v>
      </c>
      <c r="C568" s="211" t="s">
        <v>8</v>
      </c>
      <c r="D568" s="204" t="s">
        <v>9</v>
      </c>
      <c r="E568" s="204" t="s">
        <v>10</v>
      </c>
      <c r="F568" s="10" t="s">
        <v>11</v>
      </c>
      <c r="G568" s="204" t="s">
        <v>12</v>
      </c>
      <c r="H568" s="217" t="s">
        <v>13</v>
      </c>
      <c r="I568" s="217"/>
      <c r="J568" s="217"/>
      <c r="K568" s="217"/>
      <c r="L568" s="217"/>
      <c r="M568" s="204" t="s">
        <v>14</v>
      </c>
      <c r="N568" s="216" t="s">
        <v>15</v>
      </c>
    </row>
    <row r="569" spans="1:19" s="3" customFormat="1" ht="108.75" customHeight="1" x14ac:dyDescent="0.2">
      <c r="A569" s="218"/>
      <c r="B569" s="211"/>
      <c r="C569" s="211"/>
      <c r="D569" s="204"/>
      <c r="E569" s="204"/>
      <c r="F569" s="11" t="s">
        <v>16</v>
      </c>
      <c r="G569" s="204"/>
      <c r="H569" s="116" t="s">
        <v>17</v>
      </c>
      <c r="I569" s="145" t="s">
        <v>18</v>
      </c>
      <c r="J569" s="11" t="s">
        <v>19</v>
      </c>
      <c r="K569" s="11" t="s">
        <v>20</v>
      </c>
      <c r="L569" s="11" t="s">
        <v>21</v>
      </c>
      <c r="M569" s="204"/>
      <c r="N569" s="216"/>
    </row>
    <row r="570" spans="1:19" s="5" customFormat="1" ht="23.25" customHeight="1" thickBot="1" x14ac:dyDescent="0.25">
      <c r="A570" s="60">
        <v>1</v>
      </c>
      <c r="B570" s="61">
        <v>2</v>
      </c>
      <c r="C570" s="61">
        <v>3</v>
      </c>
      <c r="D570" s="61">
        <v>4</v>
      </c>
      <c r="E570" s="61">
        <v>5</v>
      </c>
      <c r="F570" s="61">
        <v>6</v>
      </c>
      <c r="G570" s="61">
        <v>7</v>
      </c>
      <c r="H570" s="117">
        <v>8</v>
      </c>
      <c r="I570" s="146">
        <v>9</v>
      </c>
      <c r="J570" s="61">
        <v>10</v>
      </c>
      <c r="K570" s="61">
        <v>11</v>
      </c>
      <c r="L570" s="61">
        <v>12</v>
      </c>
      <c r="M570" s="61">
        <v>13</v>
      </c>
      <c r="N570" s="62">
        <v>14</v>
      </c>
    </row>
    <row r="571" spans="1:19" ht="41.25" customHeight="1" x14ac:dyDescent="0.2">
      <c r="A571" s="309" t="s">
        <v>22</v>
      </c>
      <c r="B571" s="265" t="s">
        <v>195</v>
      </c>
      <c r="C571" s="180" t="s">
        <v>54</v>
      </c>
      <c r="D571" s="20" t="s">
        <v>24</v>
      </c>
      <c r="E571" s="226" t="s">
        <v>55</v>
      </c>
      <c r="F571" s="63">
        <f>F575</f>
        <v>18267</v>
      </c>
      <c r="G571" s="63">
        <f>H571+I571+J571+K571+L571</f>
        <v>114953.4</v>
      </c>
      <c r="H571" s="80">
        <f>H575</f>
        <v>22670.6</v>
      </c>
      <c r="I571" s="171">
        <f>I572+I573+I574</f>
        <v>25082.100000000002</v>
      </c>
      <c r="J571" s="80">
        <f>J572+J573+J574</f>
        <v>24726.2</v>
      </c>
      <c r="K571" s="80">
        <f>K572+K573+K574</f>
        <v>24726.2</v>
      </c>
      <c r="L571" s="63">
        <f>L572+L573+L574</f>
        <v>17748.3</v>
      </c>
      <c r="M571" s="230" t="s">
        <v>26</v>
      </c>
      <c r="N571" s="230" t="s">
        <v>196</v>
      </c>
    </row>
    <row r="572" spans="1:19" ht="68.25" customHeight="1" x14ac:dyDescent="0.2">
      <c r="A572" s="309"/>
      <c r="B572" s="266"/>
      <c r="C572" s="180"/>
      <c r="D572" s="17" t="s">
        <v>27</v>
      </c>
      <c r="E572" s="226"/>
      <c r="F572" s="18">
        <f>F576</f>
        <v>0</v>
      </c>
      <c r="G572" s="18"/>
      <c r="H572" s="76"/>
      <c r="I572" s="148"/>
      <c r="J572" s="76"/>
      <c r="K572" s="76"/>
      <c r="L572" s="18"/>
      <c r="M572" s="230"/>
      <c r="N572" s="230"/>
    </row>
    <row r="573" spans="1:19" ht="68.25" customHeight="1" x14ac:dyDescent="0.2">
      <c r="A573" s="309"/>
      <c r="B573" s="266"/>
      <c r="C573" s="180"/>
      <c r="D573" s="17" t="s">
        <v>28</v>
      </c>
      <c r="E573" s="226"/>
      <c r="F573" s="18">
        <f>F577</f>
        <v>18267</v>
      </c>
      <c r="G573" s="18">
        <f>H573+I573+J573+K573+L573</f>
        <v>114953.4</v>
      </c>
      <c r="H573" s="76">
        <f>H577</f>
        <v>22670.6</v>
      </c>
      <c r="I573" s="148">
        <f>I577</f>
        <v>25082.100000000002</v>
      </c>
      <c r="J573" s="76">
        <f>J577</f>
        <v>24726.2</v>
      </c>
      <c r="K573" s="76">
        <f>K577</f>
        <v>24726.2</v>
      </c>
      <c r="L573" s="18">
        <f>L575</f>
        <v>17748.3</v>
      </c>
      <c r="M573" s="230"/>
      <c r="N573" s="230"/>
    </row>
    <row r="574" spans="1:19" ht="54.75" customHeight="1" x14ac:dyDescent="0.2">
      <c r="A574" s="309"/>
      <c r="B574" s="267"/>
      <c r="C574" s="180"/>
      <c r="D574" s="17" t="s">
        <v>29</v>
      </c>
      <c r="E574" s="226"/>
      <c r="F574" s="18">
        <f>F578</f>
        <v>0</v>
      </c>
      <c r="G574" s="18"/>
      <c r="H574" s="76"/>
      <c r="I574" s="148"/>
      <c r="J574" s="76"/>
      <c r="K574" s="76"/>
      <c r="L574" s="18"/>
      <c r="M574" s="230"/>
      <c r="N574" s="230"/>
    </row>
    <row r="575" spans="1:19" ht="45.75" customHeight="1" x14ac:dyDescent="0.2">
      <c r="A575" s="268" t="s">
        <v>30</v>
      </c>
      <c r="B575" s="180" t="s">
        <v>348</v>
      </c>
      <c r="C575" s="180" t="s">
        <v>54</v>
      </c>
      <c r="D575" s="20" t="s">
        <v>24</v>
      </c>
      <c r="E575" s="226" t="s">
        <v>55</v>
      </c>
      <c r="F575" s="63">
        <f>F576+F577+F578</f>
        <v>18267</v>
      </c>
      <c r="G575" s="63">
        <f>H575+I575+J575+K575+L575</f>
        <v>114953.4</v>
      </c>
      <c r="H575" s="123">
        <f>H576+H577+H578</f>
        <v>22670.6</v>
      </c>
      <c r="I575" s="171">
        <f>I576+I577+I578</f>
        <v>25082.100000000002</v>
      </c>
      <c r="J575" s="80">
        <f>J576+J577+J578</f>
        <v>24726.2</v>
      </c>
      <c r="K575" s="80">
        <f>K576+K577+K578</f>
        <v>24726.2</v>
      </c>
      <c r="L575" s="63">
        <f>L576+L577+L578</f>
        <v>17748.3</v>
      </c>
      <c r="M575" s="230" t="s">
        <v>26</v>
      </c>
      <c r="N575" s="230" t="s">
        <v>196</v>
      </c>
    </row>
    <row r="576" spans="1:19" ht="69" customHeight="1" x14ac:dyDescent="0.2">
      <c r="A576" s="268"/>
      <c r="B576" s="180"/>
      <c r="C576" s="180"/>
      <c r="D576" s="17" t="s">
        <v>27</v>
      </c>
      <c r="E576" s="226"/>
      <c r="F576" s="18">
        <f>F580+F584</f>
        <v>0</v>
      </c>
      <c r="G576" s="18"/>
      <c r="H576" s="76"/>
      <c r="I576" s="148"/>
      <c r="J576" s="76"/>
      <c r="K576" s="76"/>
      <c r="L576" s="18"/>
      <c r="M576" s="230"/>
      <c r="N576" s="230"/>
    </row>
    <row r="577" spans="1:14" ht="51.75" customHeight="1" x14ac:dyDescent="0.2">
      <c r="A577" s="268"/>
      <c r="B577" s="180"/>
      <c r="C577" s="180"/>
      <c r="D577" s="17" t="s">
        <v>28</v>
      </c>
      <c r="E577" s="226"/>
      <c r="F577" s="18">
        <f>F581+F585</f>
        <v>18267</v>
      </c>
      <c r="G577" s="18">
        <f>H577+I577+J577+K577+L577</f>
        <v>114953.4</v>
      </c>
      <c r="H577" s="76">
        <f>H581+H585</f>
        <v>22670.6</v>
      </c>
      <c r="I577" s="148">
        <f>I581+I585</f>
        <v>25082.100000000002</v>
      </c>
      <c r="J577" s="76">
        <f>J581+J585</f>
        <v>24726.2</v>
      </c>
      <c r="K577" s="76">
        <f>K581+K585</f>
        <v>24726.2</v>
      </c>
      <c r="L577" s="18">
        <f>L581+L585</f>
        <v>17748.3</v>
      </c>
      <c r="M577" s="230"/>
      <c r="N577" s="230"/>
    </row>
    <row r="578" spans="1:14" ht="51.75" customHeight="1" x14ac:dyDescent="0.2">
      <c r="A578" s="268"/>
      <c r="B578" s="180"/>
      <c r="C578" s="180"/>
      <c r="D578" s="17" t="s">
        <v>29</v>
      </c>
      <c r="E578" s="226"/>
      <c r="F578" s="18"/>
      <c r="G578" s="18"/>
      <c r="H578" s="76"/>
      <c r="I578" s="148"/>
      <c r="J578" s="76"/>
      <c r="K578" s="76"/>
      <c r="L578" s="18"/>
      <c r="M578" s="230"/>
      <c r="N578" s="230"/>
    </row>
    <row r="579" spans="1:14" ht="41.25" customHeight="1" x14ac:dyDescent="0.2">
      <c r="A579" s="271" t="s">
        <v>160</v>
      </c>
      <c r="B579" s="178" t="s">
        <v>349</v>
      </c>
      <c r="C579" s="197" t="s">
        <v>197</v>
      </c>
      <c r="D579" s="20" t="s">
        <v>34</v>
      </c>
      <c r="E579" s="226" t="s">
        <v>55</v>
      </c>
      <c r="F579" s="21">
        <f>F580+F581+F582</f>
        <v>18253.8</v>
      </c>
      <c r="G579" s="21">
        <f>H579+I579+J579+K579+L579</f>
        <v>102680.80000000002</v>
      </c>
      <c r="H579" s="81">
        <f>H580+H580+H581+H582</f>
        <v>19052.099999999999</v>
      </c>
      <c r="I579" s="149">
        <f>I581</f>
        <v>22201.800000000003</v>
      </c>
      <c r="J579" s="81">
        <f>J581</f>
        <v>21845.9</v>
      </c>
      <c r="K579" s="81">
        <f>K581</f>
        <v>21845.9</v>
      </c>
      <c r="L579" s="21">
        <v>17735.099999999999</v>
      </c>
      <c r="M579" s="230" t="s">
        <v>26</v>
      </c>
      <c r="N579" s="207" t="s">
        <v>237</v>
      </c>
    </row>
    <row r="580" spans="1:14" ht="75" customHeight="1" x14ac:dyDescent="0.2">
      <c r="A580" s="271"/>
      <c r="B580" s="178"/>
      <c r="C580" s="178"/>
      <c r="D580" s="17" t="s">
        <v>27</v>
      </c>
      <c r="E580" s="226"/>
      <c r="F580" s="21"/>
      <c r="G580" s="81"/>
      <c r="H580" s="81"/>
      <c r="I580" s="149"/>
      <c r="J580" s="81"/>
      <c r="K580" s="81"/>
      <c r="L580" s="21"/>
      <c r="M580" s="230"/>
      <c r="N580" s="207"/>
    </row>
    <row r="581" spans="1:14" ht="53.25" customHeight="1" x14ac:dyDescent="0.2">
      <c r="A581" s="271"/>
      <c r="B581" s="178"/>
      <c r="C581" s="178"/>
      <c r="D581" s="17" t="s">
        <v>28</v>
      </c>
      <c r="E581" s="226"/>
      <c r="F581" s="21">
        <v>18253.8</v>
      </c>
      <c r="G581" s="81">
        <f>H581+I581+J581+K581+L581</f>
        <v>102680.80000000002</v>
      </c>
      <c r="H581" s="81">
        <f>17735.1+1317</f>
        <v>19052.099999999999</v>
      </c>
      <c r="I581" s="149">
        <f>21845.9+355.9</f>
        <v>22201.800000000003</v>
      </c>
      <c r="J581" s="81">
        <v>21845.9</v>
      </c>
      <c r="K581" s="81">
        <v>21845.9</v>
      </c>
      <c r="L581" s="21">
        <v>17735.099999999999</v>
      </c>
      <c r="M581" s="230"/>
      <c r="N581" s="207"/>
    </row>
    <row r="582" spans="1:14" ht="49.5" customHeight="1" x14ac:dyDescent="0.2">
      <c r="A582" s="271"/>
      <c r="B582" s="178"/>
      <c r="C582" s="178"/>
      <c r="D582" s="17" t="s">
        <v>29</v>
      </c>
      <c r="E582" s="226"/>
      <c r="F582" s="21"/>
      <c r="G582" s="21"/>
      <c r="H582" s="81"/>
      <c r="I582" s="149"/>
      <c r="J582" s="81"/>
      <c r="K582" s="81"/>
      <c r="L582" s="21"/>
      <c r="M582" s="230"/>
      <c r="N582" s="207"/>
    </row>
    <row r="583" spans="1:14" ht="48" customHeight="1" x14ac:dyDescent="0.2">
      <c r="A583" s="310" t="s">
        <v>163</v>
      </c>
      <c r="B583" s="197" t="s">
        <v>209</v>
      </c>
      <c r="C583" s="273" t="s">
        <v>198</v>
      </c>
      <c r="D583" s="65" t="s">
        <v>34</v>
      </c>
      <c r="E583" s="226" t="s">
        <v>55</v>
      </c>
      <c r="F583" s="21">
        <f>F585</f>
        <v>13.2</v>
      </c>
      <c r="G583" s="21">
        <f>H583+I583+J583+K583+L583</f>
        <v>12272.600000000002</v>
      </c>
      <c r="H583" s="81">
        <f>H584+H585+H586</f>
        <v>3618.5</v>
      </c>
      <c r="I583" s="149">
        <f>I584+I585+I586</f>
        <v>2880.3</v>
      </c>
      <c r="J583" s="81">
        <f>J584+J585+J586</f>
        <v>2880.3</v>
      </c>
      <c r="K583" s="81">
        <f>K584+K585+K586</f>
        <v>2880.3</v>
      </c>
      <c r="L583" s="21">
        <f>L584+L585+L586</f>
        <v>13.2</v>
      </c>
      <c r="M583" s="230" t="s">
        <v>26</v>
      </c>
      <c r="N583" s="207" t="s">
        <v>213</v>
      </c>
    </row>
    <row r="584" spans="1:14" ht="68.25" customHeight="1" x14ac:dyDescent="0.2">
      <c r="A584" s="310"/>
      <c r="B584" s="197"/>
      <c r="C584" s="273"/>
      <c r="D584" s="66" t="s">
        <v>27</v>
      </c>
      <c r="E584" s="226"/>
      <c r="F584" s="21"/>
      <c r="G584" s="21"/>
      <c r="H584" s="81"/>
      <c r="I584" s="149"/>
      <c r="J584" s="81"/>
      <c r="K584" s="81"/>
      <c r="L584" s="21"/>
      <c r="M584" s="230"/>
      <c r="N584" s="207"/>
    </row>
    <row r="585" spans="1:14" ht="44.25" customHeight="1" x14ac:dyDescent="0.2">
      <c r="A585" s="310"/>
      <c r="B585" s="197"/>
      <c r="C585" s="273"/>
      <c r="D585" s="66" t="s">
        <v>28</v>
      </c>
      <c r="E585" s="226"/>
      <c r="F585" s="21">
        <v>13.2</v>
      </c>
      <c r="G585" s="21">
        <f>H585+I585+J585+K585+L585</f>
        <v>12272.600000000002</v>
      </c>
      <c r="H585" s="81">
        <v>3618.5</v>
      </c>
      <c r="I585" s="149">
        <v>2880.3</v>
      </c>
      <c r="J585" s="81">
        <v>2880.3</v>
      </c>
      <c r="K585" s="81">
        <v>2880.3</v>
      </c>
      <c r="L585" s="21">
        <v>13.2</v>
      </c>
      <c r="M585" s="230"/>
      <c r="N585" s="207"/>
    </row>
    <row r="586" spans="1:14" ht="51" customHeight="1" x14ac:dyDescent="0.2">
      <c r="A586" s="310"/>
      <c r="B586" s="197"/>
      <c r="C586" s="273"/>
      <c r="D586" s="66" t="s">
        <v>29</v>
      </c>
      <c r="E586" s="226"/>
      <c r="F586" s="21"/>
      <c r="G586" s="21"/>
      <c r="H586" s="81"/>
      <c r="I586" s="149"/>
      <c r="J586" s="81"/>
      <c r="K586" s="81"/>
      <c r="L586" s="21"/>
      <c r="M586" s="230"/>
      <c r="N586" s="207"/>
    </row>
    <row r="587" spans="1:14" ht="48" customHeight="1" x14ac:dyDescent="0.2">
      <c r="A587" s="309" t="s">
        <v>42</v>
      </c>
      <c r="B587" s="267" t="s">
        <v>199</v>
      </c>
      <c r="C587" s="180" t="s">
        <v>105</v>
      </c>
      <c r="D587" s="20" t="s">
        <v>24</v>
      </c>
      <c r="E587" s="226" t="s">
        <v>55</v>
      </c>
      <c r="F587" s="63">
        <f>F588+F589+F590</f>
        <v>13561.2</v>
      </c>
      <c r="G587" s="63">
        <f>H587+I587+J587+K587+L587</f>
        <v>72596.800000000003</v>
      </c>
      <c r="H587" s="80">
        <f>H588+H589+H590</f>
        <v>14654.2</v>
      </c>
      <c r="I587" s="171">
        <f>I588+I589+I590</f>
        <v>14404</v>
      </c>
      <c r="J587" s="80">
        <f>J588+J589+J590</f>
        <v>14422.6</v>
      </c>
      <c r="K587" s="80">
        <f>K588+K589+K590</f>
        <v>14422.6</v>
      </c>
      <c r="L587" s="63">
        <f>L588+L589+L590</f>
        <v>14693.4</v>
      </c>
      <c r="M587" s="230" t="s">
        <v>26</v>
      </c>
      <c r="N587" s="230" t="s">
        <v>200</v>
      </c>
    </row>
    <row r="588" spans="1:14" ht="74.25" customHeight="1" x14ac:dyDescent="0.2">
      <c r="A588" s="309"/>
      <c r="B588" s="267"/>
      <c r="C588" s="180"/>
      <c r="D588" s="17" t="s">
        <v>27</v>
      </c>
      <c r="E588" s="226"/>
      <c r="F588" s="18">
        <f t="shared" ref="F588:L588" si="111">F592</f>
        <v>110.7</v>
      </c>
      <c r="G588" s="18">
        <f t="shared" si="111"/>
        <v>0</v>
      </c>
      <c r="H588" s="76">
        <f t="shared" si="111"/>
        <v>0</v>
      </c>
      <c r="I588" s="148">
        <f t="shared" si="111"/>
        <v>0</v>
      </c>
      <c r="J588" s="76">
        <f t="shared" ref="J588:K590" si="112">J592</f>
        <v>0</v>
      </c>
      <c r="K588" s="76">
        <f t="shared" si="112"/>
        <v>0</v>
      </c>
      <c r="L588" s="18">
        <f t="shared" si="111"/>
        <v>0</v>
      </c>
      <c r="M588" s="230"/>
      <c r="N588" s="230"/>
    </row>
    <row r="589" spans="1:14" ht="48" customHeight="1" x14ac:dyDescent="0.2">
      <c r="A589" s="309"/>
      <c r="B589" s="267"/>
      <c r="C589" s="180"/>
      <c r="D589" s="17" t="s">
        <v>28</v>
      </c>
      <c r="E589" s="226"/>
      <c r="F589" s="18">
        <f>F593</f>
        <v>13450.5</v>
      </c>
      <c r="G589" s="18">
        <f>H589+I589+J589+K589+L589</f>
        <v>72596.800000000003</v>
      </c>
      <c r="H589" s="76">
        <f t="shared" ref="H589:L590" si="113">H593</f>
        <v>14654.2</v>
      </c>
      <c r="I589" s="148">
        <f t="shared" si="113"/>
        <v>14404</v>
      </c>
      <c r="J589" s="76">
        <f t="shared" si="112"/>
        <v>14422.6</v>
      </c>
      <c r="K589" s="76">
        <f t="shared" si="112"/>
        <v>14422.6</v>
      </c>
      <c r="L589" s="18">
        <f t="shared" si="113"/>
        <v>14693.4</v>
      </c>
      <c r="M589" s="230"/>
      <c r="N589" s="230"/>
    </row>
    <row r="590" spans="1:14" ht="54.75" customHeight="1" x14ac:dyDescent="0.2">
      <c r="A590" s="309"/>
      <c r="B590" s="267"/>
      <c r="C590" s="180"/>
      <c r="D590" s="17" t="s">
        <v>29</v>
      </c>
      <c r="E590" s="226"/>
      <c r="F590" s="18">
        <f>F594</f>
        <v>0</v>
      </c>
      <c r="G590" s="18">
        <f>G594</f>
        <v>0</v>
      </c>
      <c r="H590" s="76">
        <f t="shared" si="113"/>
        <v>0</v>
      </c>
      <c r="I590" s="148">
        <f t="shared" si="113"/>
        <v>0</v>
      </c>
      <c r="J590" s="76">
        <f t="shared" si="112"/>
        <v>0</v>
      </c>
      <c r="K590" s="76">
        <f t="shared" si="112"/>
        <v>0</v>
      </c>
      <c r="L590" s="18">
        <f t="shared" si="113"/>
        <v>0</v>
      </c>
      <c r="M590" s="230"/>
      <c r="N590" s="230"/>
    </row>
    <row r="591" spans="1:14" ht="48" customHeight="1" x14ac:dyDescent="0.2">
      <c r="A591" s="268" t="s">
        <v>45</v>
      </c>
      <c r="B591" s="180" t="s">
        <v>350</v>
      </c>
      <c r="C591" s="180" t="s">
        <v>201</v>
      </c>
      <c r="D591" s="20" t="s">
        <v>24</v>
      </c>
      <c r="E591" s="226" t="s">
        <v>55</v>
      </c>
      <c r="F591" s="63">
        <f>F592+F593+F594</f>
        <v>13561.2</v>
      </c>
      <c r="G591" s="63">
        <f>H591+I591+J591+K591+L591</f>
        <v>72596.800000000003</v>
      </c>
      <c r="H591" s="80">
        <f>H592+H593+H594</f>
        <v>14654.2</v>
      </c>
      <c r="I591" s="171">
        <f>I592+I593+I594</f>
        <v>14404</v>
      </c>
      <c r="J591" s="80">
        <f>J592+J593+J594</f>
        <v>14422.6</v>
      </c>
      <c r="K591" s="80">
        <f>K592+K593+K594</f>
        <v>14422.6</v>
      </c>
      <c r="L591" s="63">
        <f>L592+L593+L594</f>
        <v>14693.4</v>
      </c>
      <c r="M591" s="230" t="s">
        <v>26</v>
      </c>
      <c r="N591" s="230" t="s">
        <v>225</v>
      </c>
    </row>
    <row r="592" spans="1:14" ht="69.75" customHeight="1" x14ac:dyDescent="0.2">
      <c r="A592" s="268"/>
      <c r="B592" s="180"/>
      <c r="C592" s="180"/>
      <c r="D592" s="17" t="s">
        <v>27</v>
      </c>
      <c r="E592" s="226"/>
      <c r="F592" s="18">
        <f>F596</f>
        <v>110.7</v>
      </c>
      <c r="G592" s="18"/>
      <c r="H592" s="76"/>
      <c r="I592" s="148"/>
      <c r="J592" s="76"/>
      <c r="K592" s="76"/>
      <c r="L592" s="18"/>
      <c r="M592" s="230"/>
      <c r="N592" s="230"/>
    </row>
    <row r="593" spans="1:14" ht="45" customHeight="1" x14ac:dyDescent="0.2">
      <c r="A593" s="268"/>
      <c r="B593" s="180"/>
      <c r="C593" s="180"/>
      <c r="D593" s="17" t="s">
        <v>28</v>
      </c>
      <c r="E593" s="226"/>
      <c r="F593" s="18">
        <f>F597+F601</f>
        <v>13450.5</v>
      </c>
      <c r="G593" s="18">
        <f>H593+I593+J593+K593+L593</f>
        <v>72596.800000000003</v>
      </c>
      <c r="H593" s="76">
        <f>H597+H601</f>
        <v>14654.2</v>
      </c>
      <c r="I593" s="148">
        <f>I597+I601</f>
        <v>14404</v>
      </c>
      <c r="J593" s="76">
        <f>J597+J601</f>
        <v>14422.6</v>
      </c>
      <c r="K593" s="76">
        <f>K597+K601</f>
        <v>14422.6</v>
      </c>
      <c r="L593" s="18">
        <f>L597+L601</f>
        <v>14693.4</v>
      </c>
      <c r="M593" s="230"/>
      <c r="N593" s="230"/>
    </row>
    <row r="594" spans="1:14" ht="45.75" customHeight="1" x14ac:dyDescent="0.2">
      <c r="A594" s="268"/>
      <c r="B594" s="180"/>
      <c r="C594" s="180"/>
      <c r="D594" s="17" t="s">
        <v>29</v>
      </c>
      <c r="E594" s="226"/>
      <c r="F594" s="18"/>
      <c r="G594" s="18"/>
      <c r="H594" s="76"/>
      <c r="I594" s="148"/>
      <c r="J594" s="76"/>
      <c r="K594" s="76"/>
      <c r="L594" s="18"/>
      <c r="M594" s="230"/>
      <c r="N594" s="230"/>
    </row>
    <row r="595" spans="1:14" ht="27" customHeight="1" x14ac:dyDescent="0.2">
      <c r="A595" s="271" t="s">
        <v>202</v>
      </c>
      <c r="B595" s="178" t="s">
        <v>349</v>
      </c>
      <c r="C595" s="197" t="s">
        <v>197</v>
      </c>
      <c r="D595" s="20" t="s">
        <v>34</v>
      </c>
      <c r="E595" s="226" t="s">
        <v>55</v>
      </c>
      <c r="F595" s="21">
        <f>F596+F597</f>
        <v>10700.900000000001</v>
      </c>
      <c r="G595" s="21">
        <f>H595+I595+J595+K595+L595</f>
        <v>53970.400000000001</v>
      </c>
      <c r="H595" s="81">
        <f>H596+H597+H598</f>
        <v>10700.9</v>
      </c>
      <c r="I595" s="149">
        <f>I596+I597+I598</f>
        <v>10856.2</v>
      </c>
      <c r="J595" s="81">
        <f>J596+J597+J598</f>
        <v>10856.2</v>
      </c>
      <c r="K595" s="81">
        <f>K596+K597+K598</f>
        <v>10856.2</v>
      </c>
      <c r="L595" s="21">
        <f>L596+L597+L598</f>
        <v>10700.9</v>
      </c>
      <c r="M595" s="230" t="s">
        <v>26</v>
      </c>
      <c r="N595" s="207" t="s">
        <v>237</v>
      </c>
    </row>
    <row r="596" spans="1:14" ht="70.5" customHeight="1" x14ac:dyDescent="0.2">
      <c r="A596" s="271"/>
      <c r="B596" s="178"/>
      <c r="C596" s="178"/>
      <c r="D596" s="17" t="s">
        <v>27</v>
      </c>
      <c r="E596" s="226"/>
      <c r="F596" s="21">
        <v>110.7</v>
      </c>
      <c r="G596" s="21"/>
      <c r="H596" s="81"/>
      <c r="I596" s="149"/>
      <c r="J596" s="81"/>
      <c r="K596" s="81"/>
      <c r="L596" s="21"/>
      <c r="M596" s="230"/>
      <c r="N596" s="207"/>
    </row>
    <row r="597" spans="1:14" ht="46.5" customHeight="1" x14ac:dyDescent="0.2">
      <c r="A597" s="271"/>
      <c r="B597" s="178"/>
      <c r="C597" s="178"/>
      <c r="D597" s="17" t="s">
        <v>28</v>
      </c>
      <c r="E597" s="226"/>
      <c r="F597" s="21">
        <v>10590.2</v>
      </c>
      <c r="G597" s="21">
        <f>H597+I597+J597+K597+L597</f>
        <v>53970.400000000001</v>
      </c>
      <c r="H597" s="81">
        <v>10700.9</v>
      </c>
      <c r="I597" s="149">
        <v>10856.2</v>
      </c>
      <c r="J597" s="81">
        <v>10856.2</v>
      </c>
      <c r="K597" s="81">
        <v>10856.2</v>
      </c>
      <c r="L597" s="21">
        <v>10700.9</v>
      </c>
      <c r="M597" s="230"/>
      <c r="N597" s="207"/>
    </row>
    <row r="598" spans="1:14" ht="46.5" customHeight="1" x14ac:dyDescent="0.2">
      <c r="A598" s="271"/>
      <c r="B598" s="178"/>
      <c r="C598" s="197"/>
      <c r="D598" s="17" t="s">
        <v>29</v>
      </c>
      <c r="E598" s="226"/>
      <c r="F598" s="21"/>
      <c r="G598" s="21"/>
      <c r="H598" s="81"/>
      <c r="I598" s="149"/>
      <c r="J598" s="81"/>
      <c r="K598" s="81"/>
      <c r="L598" s="21"/>
      <c r="M598" s="230"/>
      <c r="N598" s="207"/>
    </row>
    <row r="599" spans="1:14" ht="27" customHeight="1" x14ac:dyDescent="0.2">
      <c r="A599" s="310" t="s">
        <v>203</v>
      </c>
      <c r="B599" s="197" t="s">
        <v>209</v>
      </c>
      <c r="C599" s="311" t="s">
        <v>198</v>
      </c>
      <c r="D599" s="20" t="s">
        <v>34</v>
      </c>
      <c r="E599" s="226" t="s">
        <v>55</v>
      </c>
      <c r="F599" s="21">
        <f>F601</f>
        <v>2860.3</v>
      </c>
      <c r="G599" s="21">
        <f>H599+I599+J599+K599+L599</f>
        <v>18626.400000000001</v>
      </c>
      <c r="H599" s="81">
        <f>H600+H601+H602</f>
        <v>3953.3</v>
      </c>
      <c r="I599" s="149">
        <f>I600+I601+I602</f>
        <v>3547.8</v>
      </c>
      <c r="J599" s="81">
        <f>J600+J601+J602</f>
        <v>3566.4</v>
      </c>
      <c r="K599" s="81">
        <f>K600+K601+K602</f>
        <v>3566.4</v>
      </c>
      <c r="L599" s="21">
        <f>L600+L601+L602</f>
        <v>3992.5</v>
      </c>
      <c r="M599" s="230" t="s">
        <v>26</v>
      </c>
      <c r="N599" s="207" t="s">
        <v>213</v>
      </c>
    </row>
    <row r="600" spans="1:14" ht="73.5" customHeight="1" x14ac:dyDescent="0.2">
      <c r="A600" s="310"/>
      <c r="B600" s="197"/>
      <c r="C600" s="312"/>
      <c r="D600" s="17" t="s">
        <v>27</v>
      </c>
      <c r="E600" s="226"/>
      <c r="F600" s="21"/>
      <c r="G600" s="21"/>
      <c r="H600" s="81"/>
      <c r="I600" s="149"/>
      <c r="J600" s="81"/>
      <c r="K600" s="81"/>
      <c r="L600" s="21"/>
      <c r="M600" s="230"/>
      <c r="N600" s="207"/>
    </row>
    <row r="601" spans="1:14" ht="51.75" customHeight="1" x14ac:dyDescent="0.2">
      <c r="A601" s="310"/>
      <c r="B601" s="197"/>
      <c r="C601" s="312"/>
      <c r="D601" s="17" t="s">
        <v>28</v>
      </c>
      <c r="E601" s="226"/>
      <c r="F601" s="21">
        <v>2860.3</v>
      </c>
      <c r="G601" s="21">
        <f>H601+I601+J601+K601+L601</f>
        <v>18626.400000000001</v>
      </c>
      <c r="H601" s="81">
        <v>3953.3</v>
      </c>
      <c r="I601" s="149">
        <v>3547.8</v>
      </c>
      <c r="J601" s="81">
        <v>3566.4</v>
      </c>
      <c r="K601" s="81">
        <v>3566.4</v>
      </c>
      <c r="L601" s="21">
        <v>3992.5</v>
      </c>
      <c r="M601" s="230"/>
      <c r="N601" s="207"/>
    </row>
    <row r="602" spans="1:14" ht="27" customHeight="1" x14ac:dyDescent="0.2">
      <c r="A602" s="310"/>
      <c r="B602" s="197"/>
      <c r="C602" s="311"/>
      <c r="D602" s="17" t="s">
        <v>29</v>
      </c>
      <c r="E602" s="226"/>
      <c r="F602" s="21"/>
      <c r="G602" s="21"/>
      <c r="H602" s="81"/>
      <c r="I602" s="149"/>
      <c r="J602" s="81"/>
      <c r="K602" s="81"/>
      <c r="L602" s="21"/>
      <c r="M602" s="230"/>
      <c r="N602" s="207"/>
    </row>
    <row r="603" spans="1:14" ht="41.25" customHeight="1" x14ac:dyDescent="0.2">
      <c r="A603" s="309" t="s">
        <v>102</v>
      </c>
      <c r="B603" s="267" t="s">
        <v>204</v>
      </c>
      <c r="C603" s="180" t="s">
        <v>298</v>
      </c>
      <c r="D603" s="20" t="s">
        <v>24</v>
      </c>
      <c r="E603" s="226" t="s">
        <v>55</v>
      </c>
      <c r="F603" s="63">
        <f>F604+F605</f>
        <v>13311.5</v>
      </c>
      <c r="G603" s="63">
        <f>H603+I603+J603+K603+L603</f>
        <v>56202.8</v>
      </c>
      <c r="H603" s="80">
        <f>H604+H605+H606</f>
        <v>13493.400000000001</v>
      </c>
      <c r="I603" s="171">
        <f>I604+I605+I606</f>
        <v>9759.5</v>
      </c>
      <c r="J603" s="80">
        <f>J604+J605+J606</f>
        <v>9765</v>
      </c>
      <c r="K603" s="80">
        <f>K604+K605+K606</f>
        <v>9765</v>
      </c>
      <c r="L603" s="63">
        <f>L604+L605+L606</f>
        <v>13419.9</v>
      </c>
      <c r="M603" s="230" t="s">
        <v>26</v>
      </c>
      <c r="N603" s="230" t="s">
        <v>205</v>
      </c>
    </row>
    <row r="604" spans="1:14" ht="75" customHeight="1" x14ac:dyDescent="0.2">
      <c r="A604" s="309"/>
      <c r="B604" s="267"/>
      <c r="C604" s="180"/>
      <c r="D604" s="17" t="s">
        <v>27</v>
      </c>
      <c r="E604" s="226"/>
      <c r="F604" s="18">
        <f t="shared" ref="F604:L604" si="114">F608</f>
        <v>0</v>
      </c>
      <c r="G604" s="18">
        <f t="shared" si="114"/>
        <v>0</v>
      </c>
      <c r="H604" s="76">
        <f t="shared" si="114"/>
        <v>0</v>
      </c>
      <c r="I604" s="148">
        <f t="shared" si="114"/>
        <v>0</v>
      </c>
      <c r="J604" s="76">
        <f t="shared" ref="J604:K606" si="115">J608</f>
        <v>0</v>
      </c>
      <c r="K604" s="76">
        <f t="shared" si="115"/>
        <v>0</v>
      </c>
      <c r="L604" s="18">
        <f t="shared" si="114"/>
        <v>0</v>
      </c>
      <c r="M604" s="230"/>
      <c r="N604" s="230"/>
    </row>
    <row r="605" spans="1:14" ht="61.5" customHeight="1" x14ac:dyDescent="0.2">
      <c r="A605" s="309"/>
      <c r="B605" s="267"/>
      <c r="C605" s="180"/>
      <c r="D605" s="17" t="s">
        <v>28</v>
      </c>
      <c r="E605" s="226"/>
      <c r="F605" s="18">
        <v>13311.5</v>
      </c>
      <c r="G605" s="18">
        <f>H605+I605+J605+K605+L605</f>
        <v>56202.8</v>
      </c>
      <c r="H605" s="76">
        <f>H609</f>
        <v>13493.400000000001</v>
      </c>
      <c r="I605" s="148">
        <f>I609</f>
        <v>9759.5</v>
      </c>
      <c r="J605" s="76">
        <f t="shared" si="115"/>
        <v>9765</v>
      </c>
      <c r="K605" s="76">
        <f t="shared" si="115"/>
        <v>9765</v>
      </c>
      <c r="L605" s="18">
        <f>L609</f>
        <v>13419.9</v>
      </c>
      <c r="M605" s="230"/>
      <c r="N605" s="230"/>
    </row>
    <row r="606" spans="1:14" ht="50.25" customHeight="1" x14ac:dyDescent="0.2">
      <c r="A606" s="309"/>
      <c r="B606" s="267"/>
      <c r="C606" s="180"/>
      <c r="D606" s="17" t="s">
        <v>29</v>
      </c>
      <c r="E606" s="226"/>
      <c r="F606" s="18">
        <f t="shared" ref="F606:L606" si="116">F610</f>
        <v>0</v>
      </c>
      <c r="G606" s="18">
        <f t="shared" si="116"/>
        <v>0</v>
      </c>
      <c r="H606" s="76">
        <f t="shared" si="116"/>
        <v>0</v>
      </c>
      <c r="I606" s="148">
        <f t="shared" si="116"/>
        <v>0</v>
      </c>
      <c r="J606" s="76">
        <f t="shared" si="115"/>
        <v>0</v>
      </c>
      <c r="K606" s="76">
        <f t="shared" si="115"/>
        <v>0</v>
      </c>
      <c r="L606" s="18">
        <f t="shared" si="116"/>
        <v>0</v>
      </c>
      <c r="M606" s="230"/>
      <c r="N606" s="230"/>
    </row>
    <row r="607" spans="1:14" ht="29.25" hidden="1" customHeight="1" x14ac:dyDescent="0.2">
      <c r="A607" s="268" t="s">
        <v>57</v>
      </c>
      <c r="B607" s="180" t="s">
        <v>206</v>
      </c>
      <c r="C607" s="180" t="s">
        <v>105</v>
      </c>
      <c r="D607" s="20" t="s">
        <v>24</v>
      </c>
      <c r="E607" s="226" t="s">
        <v>55</v>
      </c>
      <c r="F607" s="63">
        <f>F608+F609+F610</f>
        <v>0</v>
      </c>
      <c r="G607" s="63">
        <f>H607+I607+J607+K607+L607</f>
        <v>56202.8</v>
      </c>
      <c r="H607" s="80">
        <f>H608+H609+H610</f>
        <v>13493.400000000001</v>
      </c>
      <c r="I607" s="171">
        <f>I608+I609+I610</f>
        <v>9759.5</v>
      </c>
      <c r="J607" s="80">
        <f>J608+J609+J610</f>
        <v>9765</v>
      </c>
      <c r="K607" s="80">
        <f>K608+K609+K610</f>
        <v>9765</v>
      </c>
      <c r="L607" s="63">
        <f>L608+L609+L610</f>
        <v>13419.9</v>
      </c>
      <c r="M607" s="230" t="s">
        <v>26</v>
      </c>
      <c r="N607" s="230" t="s">
        <v>205</v>
      </c>
    </row>
    <row r="608" spans="1:14" ht="90" hidden="1" customHeight="1" x14ac:dyDescent="0.2">
      <c r="A608" s="268"/>
      <c r="B608" s="180"/>
      <c r="C608" s="180"/>
      <c r="D608" s="17" t="s">
        <v>27</v>
      </c>
      <c r="E608" s="226"/>
      <c r="F608" s="18"/>
      <c r="G608" s="18"/>
      <c r="H608" s="76"/>
      <c r="I608" s="148"/>
      <c r="J608" s="76"/>
      <c r="K608" s="76"/>
      <c r="L608" s="18"/>
      <c r="M608" s="230"/>
      <c r="N608" s="230"/>
    </row>
    <row r="609" spans="1:14" ht="64.5" hidden="1" customHeight="1" x14ac:dyDescent="0.2">
      <c r="A609" s="268"/>
      <c r="B609" s="180"/>
      <c r="C609" s="180"/>
      <c r="D609" s="17" t="s">
        <v>28</v>
      </c>
      <c r="E609" s="226"/>
      <c r="F609" s="18">
        <f>F613+F617</f>
        <v>0</v>
      </c>
      <c r="G609" s="18">
        <f>H609+I609+J609+K609+L609</f>
        <v>56202.8</v>
      </c>
      <c r="H609" s="76">
        <f>H613+H617</f>
        <v>13493.400000000001</v>
      </c>
      <c r="I609" s="148">
        <f>I613+I617</f>
        <v>9759.5</v>
      </c>
      <c r="J609" s="76">
        <f>J613+J617</f>
        <v>9765</v>
      </c>
      <c r="K609" s="76">
        <f>K613+K617</f>
        <v>9765</v>
      </c>
      <c r="L609" s="18">
        <f>L613+L617</f>
        <v>13419.9</v>
      </c>
      <c r="M609" s="230"/>
      <c r="N609" s="230"/>
    </row>
    <row r="610" spans="1:14" ht="56.25" hidden="1" customHeight="1" x14ac:dyDescent="0.2">
      <c r="A610" s="268"/>
      <c r="B610" s="180"/>
      <c r="C610" s="180"/>
      <c r="D610" s="17" t="s">
        <v>29</v>
      </c>
      <c r="E610" s="226"/>
      <c r="F610" s="18"/>
      <c r="G610" s="18"/>
      <c r="H610" s="76"/>
      <c r="I610" s="148"/>
      <c r="J610" s="76"/>
      <c r="K610" s="76"/>
      <c r="L610" s="18"/>
      <c r="M610" s="230"/>
      <c r="N610" s="230"/>
    </row>
    <row r="611" spans="1:14" ht="29.25" customHeight="1" x14ac:dyDescent="0.2">
      <c r="A611" s="271" t="s">
        <v>57</v>
      </c>
      <c r="B611" s="197" t="s">
        <v>207</v>
      </c>
      <c r="C611" s="197" t="s">
        <v>208</v>
      </c>
      <c r="D611" s="20" t="s">
        <v>34</v>
      </c>
      <c r="E611" s="226" t="s">
        <v>55</v>
      </c>
      <c r="F611" s="21">
        <f>F613</f>
        <v>0</v>
      </c>
      <c r="G611" s="21">
        <f>H611+I611+J611+K611+L611</f>
        <v>52312.7</v>
      </c>
      <c r="H611" s="80">
        <f>H613</f>
        <v>12531.2</v>
      </c>
      <c r="I611" s="172">
        <f>I613</f>
        <v>9178.7999999999993</v>
      </c>
      <c r="J611" s="82">
        <f>J613</f>
        <v>9184.2999999999993</v>
      </c>
      <c r="K611" s="82">
        <f>K613</f>
        <v>9184.2999999999993</v>
      </c>
      <c r="L611" s="21">
        <f>L612+L613+L614</f>
        <v>12234.1</v>
      </c>
      <c r="M611" s="230" t="s">
        <v>26</v>
      </c>
      <c r="N611" s="207" t="s">
        <v>205</v>
      </c>
    </row>
    <row r="612" spans="1:14" ht="75.75" customHeight="1" x14ac:dyDescent="0.2">
      <c r="A612" s="271"/>
      <c r="B612" s="197"/>
      <c r="C612" s="197"/>
      <c r="D612" s="17" t="s">
        <v>27</v>
      </c>
      <c r="E612" s="226"/>
      <c r="F612" s="21"/>
      <c r="G612" s="21"/>
      <c r="H612" s="81"/>
      <c r="I612" s="149"/>
      <c r="J612" s="81"/>
      <c r="K612" s="81"/>
      <c r="L612" s="21"/>
      <c r="M612" s="230"/>
      <c r="N612" s="207"/>
    </row>
    <row r="613" spans="1:14" ht="57" customHeight="1" x14ac:dyDescent="0.2">
      <c r="A613" s="271"/>
      <c r="B613" s="197"/>
      <c r="C613" s="197"/>
      <c r="D613" s="17" t="s">
        <v>28</v>
      </c>
      <c r="E613" s="226"/>
      <c r="F613" s="21">
        <v>0</v>
      </c>
      <c r="G613" s="21">
        <f>H613+I613+J613+K613+L613</f>
        <v>52312.7</v>
      </c>
      <c r="H613" s="81">
        <v>12531.2</v>
      </c>
      <c r="I613" s="172">
        <f>9189.9-5.6-5.5</f>
        <v>9178.7999999999993</v>
      </c>
      <c r="J613" s="82">
        <f>9189.9-5.6</f>
        <v>9184.2999999999993</v>
      </c>
      <c r="K613" s="82">
        <f>9189.9-5.6</f>
        <v>9184.2999999999993</v>
      </c>
      <c r="L613" s="21">
        <v>12234.1</v>
      </c>
      <c r="M613" s="230"/>
      <c r="N613" s="207"/>
    </row>
    <row r="614" spans="1:14" ht="56.25" customHeight="1" x14ac:dyDescent="0.2">
      <c r="A614" s="271"/>
      <c r="B614" s="197"/>
      <c r="C614" s="197"/>
      <c r="D614" s="17" t="s">
        <v>29</v>
      </c>
      <c r="E614" s="226"/>
      <c r="F614" s="21"/>
      <c r="G614" s="21"/>
      <c r="H614" s="81"/>
      <c r="I614" s="149"/>
      <c r="J614" s="81"/>
      <c r="K614" s="81"/>
      <c r="L614" s="21"/>
      <c r="M614" s="230"/>
      <c r="N614" s="207"/>
    </row>
    <row r="615" spans="1:14" ht="29.25" customHeight="1" x14ac:dyDescent="0.2">
      <c r="A615" s="271" t="s">
        <v>67</v>
      </c>
      <c r="B615" s="197" t="s">
        <v>209</v>
      </c>
      <c r="C615" s="197" t="s">
        <v>293</v>
      </c>
      <c r="D615" s="20" t="s">
        <v>34</v>
      </c>
      <c r="E615" s="226" t="s">
        <v>55</v>
      </c>
      <c r="F615" s="21">
        <f>F617</f>
        <v>0</v>
      </c>
      <c r="G615" s="21">
        <f>H615+I615+J615+K615+L615</f>
        <v>3890.1000000000004</v>
      </c>
      <c r="H615" s="81">
        <f>H617</f>
        <v>962.2</v>
      </c>
      <c r="I615" s="149">
        <f>I617</f>
        <v>580.70000000000005</v>
      </c>
      <c r="J615" s="81">
        <f>J617</f>
        <v>580.70000000000005</v>
      </c>
      <c r="K615" s="81">
        <f>K617</f>
        <v>580.70000000000005</v>
      </c>
      <c r="L615" s="21">
        <f>L616+L617+L618</f>
        <v>1185.8</v>
      </c>
      <c r="M615" s="230" t="s">
        <v>26</v>
      </c>
      <c r="N615" s="207" t="s">
        <v>213</v>
      </c>
    </row>
    <row r="616" spans="1:14" ht="76.5" customHeight="1" x14ac:dyDescent="0.2">
      <c r="A616" s="271"/>
      <c r="B616" s="197"/>
      <c r="C616" s="197"/>
      <c r="D616" s="17" t="s">
        <v>27</v>
      </c>
      <c r="E616" s="226"/>
      <c r="F616" s="21"/>
      <c r="G616" s="21"/>
      <c r="H616" s="81"/>
      <c r="I616" s="149"/>
      <c r="J616" s="81"/>
      <c r="K616" s="81"/>
      <c r="L616" s="21"/>
      <c r="M616" s="230"/>
      <c r="N616" s="207"/>
    </row>
    <row r="617" spans="1:14" ht="61.5" customHeight="1" x14ac:dyDescent="0.2">
      <c r="A617" s="271"/>
      <c r="B617" s="197"/>
      <c r="C617" s="197"/>
      <c r="D617" s="17" t="s">
        <v>28</v>
      </c>
      <c r="E617" s="226"/>
      <c r="F617" s="21">
        <v>0</v>
      </c>
      <c r="G617" s="21">
        <f>H617+I617+J617+K617+L617</f>
        <v>3890.1000000000004</v>
      </c>
      <c r="H617" s="81">
        <v>962.2</v>
      </c>
      <c r="I617" s="149">
        <v>580.70000000000005</v>
      </c>
      <c r="J617" s="81">
        <v>580.70000000000005</v>
      </c>
      <c r="K617" s="81">
        <v>580.70000000000005</v>
      </c>
      <c r="L617" s="21">
        <v>1185.8</v>
      </c>
      <c r="M617" s="230"/>
      <c r="N617" s="207"/>
    </row>
    <row r="618" spans="1:14" ht="47.25" customHeight="1" x14ac:dyDescent="0.2">
      <c r="A618" s="271"/>
      <c r="B618" s="197"/>
      <c r="C618" s="197"/>
      <c r="D618" s="17" t="s">
        <v>29</v>
      </c>
      <c r="E618" s="226"/>
      <c r="F618" s="21"/>
      <c r="G618" s="21"/>
      <c r="H618" s="81"/>
      <c r="I618" s="149"/>
      <c r="J618" s="81"/>
      <c r="K618" s="81"/>
      <c r="L618" s="21"/>
      <c r="M618" s="230"/>
      <c r="N618" s="207"/>
    </row>
    <row r="619" spans="1:14" ht="30" customHeight="1" x14ac:dyDescent="0.2">
      <c r="A619" s="313" t="s">
        <v>117</v>
      </c>
      <c r="B619" s="206" t="s">
        <v>261</v>
      </c>
      <c r="C619" s="180" t="s">
        <v>201</v>
      </c>
      <c r="D619" s="20" t="s">
        <v>34</v>
      </c>
      <c r="E619" s="201"/>
      <c r="F619" s="63">
        <f>F621+F620</f>
        <v>7145.2</v>
      </c>
      <c r="G619" s="63">
        <f>G620+G621+G622</f>
        <v>44266.11</v>
      </c>
      <c r="H619" s="80">
        <f>H621</f>
        <v>7213.9100000000008</v>
      </c>
      <c r="I619" s="171">
        <f>I621</f>
        <v>8235.7999999999993</v>
      </c>
      <c r="J619" s="80">
        <f>J621</f>
        <v>8235.7999999999993</v>
      </c>
      <c r="K619" s="80">
        <f>K621</f>
        <v>8235.7999999999993</v>
      </c>
      <c r="L619" s="63">
        <f>L620+L621+L622</f>
        <v>12344.8</v>
      </c>
      <c r="M619" s="230" t="s">
        <v>26</v>
      </c>
      <c r="N619" s="207" t="s">
        <v>210</v>
      </c>
    </row>
    <row r="620" spans="1:14" ht="72.75" customHeight="1" x14ac:dyDescent="0.2">
      <c r="A620" s="313"/>
      <c r="B620" s="206"/>
      <c r="C620" s="180"/>
      <c r="D620" s="17" t="s">
        <v>27</v>
      </c>
      <c r="E620" s="201"/>
      <c r="F620" s="18">
        <f>F624</f>
        <v>65.900000000000006</v>
      </c>
      <c r="G620" s="18"/>
      <c r="H620" s="76"/>
      <c r="I620" s="148"/>
      <c r="J620" s="76"/>
      <c r="K620" s="76"/>
      <c r="L620" s="18"/>
      <c r="M620" s="230"/>
      <c r="N620" s="207"/>
    </row>
    <row r="621" spans="1:14" ht="47.25" customHeight="1" x14ac:dyDescent="0.2">
      <c r="A621" s="313"/>
      <c r="B621" s="206"/>
      <c r="C621" s="180"/>
      <c r="D621" s="17" t="s">
        <v>28</v>
      </c>
      <c r="E621" s="201"/>
      <c r="F621" s="18">
        <f>F625+F629</f>
        <v>7079.3</v>
      </c>
      <c r="G621" s="18">
        <f t="shared" ref="G621:L621" si="117">G625+G629</f>
        <v>44266.11</v>
      </c>
      <c r="H621" s="76">
        <f t="shared" si="117"/>
        <v>7213.9100000000008</v>
      </c>
      <c r="I621" s="148">
        <f t="shared" si="117"/>
        <v>8235.7999999999993</v>
      </c>
      <c r="J621" s="76">
        <f>J625+J629</f>
        <v>8235.7999999999993</v>
      </c>
      <c r="K621" s="76">
        <f>K625+K629</f>
        <v>8235.7999999999993</v>
      </c>
      <c r="L621" s="18">
        <f t="shared" si="117"/>
        <v>12344.8</v>
      </c>
      <c r="M621" s="230"/>
      <c r="N621" s="207"/>
    </row>
    <row r="622" spans="1:14" ht="46.5" customHeight="1" x14ac:dyDescent="0.2">
      <c r="A622" s="313"/>
      <c r="B622" s="206"/>
      <c r="C622" s="180"/>
      <c r="D622" s="17" t="s">
        <v>29</v>
      </c>
      <c r="E622" s="201"/>
      <c r="F622" s="18"/>
      <c r="G622" s="18"/>
      <c r="H622" s="76"/>
      <c r="I622" s="148"/>
      <c r="J622" s="76"/>
      <c r="K622" s="76"/>
      <c r="L622" s="18"/>
      <c r="M622" s="230"/>
      <c r="N622" s="207"/>
    </row>
    <row r="623" spans="1:14" ht="27" customHeight="1" x14ac:dyDescent="0.2">
      <c r="A623" s="315" t="s">
        <v>118</v>
      </c>
      <c r="B623" s="197" t="s">
        <v>211</v>
      </c>
      <c r="C623" s="197" t="s">
        <v>212</v>
      </c>
      <c r="D623" s="20" t="s">
        <v>34</v>
      </c>
      <c r="E623" s="201"/>
      <c r="F623" s="18">
        <f>F624+F625</f>
        <v>6563.2</v>
      </c>
      <c r="G623" s="18">
        <f t="shared" ref="G623:L623" si="118">G624+G625+G626</f>
        <v>36984.31</v>
      </c>
      <c r="H623" s="76">
        <f t="shared" si="118"/>
        <v>6709.81</v>
      </c>
      <c r="I623" s="148">
        <f t="shared" si="118"/>
        <v>7920.2</v>
      </c>
      <c r="J623" s="76">
        <f>J624+J625+J626</f>
        <v>7920.2</v>
      </c>
      <c r="K623" s="76">
        <f>K624+K625+K626</f>
        <v>7920.2</v>
      </c>
      <c r="L623" s="18">
        <f t="shared" si="118"/>
        <v>6513.9</v>
      </c>
      <c r="M623" s="230" t="s">
        <v>26</v>
      </c>
      <c r="N623" s="207" t="s">
        <v>237</v>
      </c>
    </row>
    <row r="624" spans="1:14" ht="72" customHeight="1" x14ac:dyDescent="0.2">
      <c r="A624" s="315"/>
      <c r="B624" s="197"/>
      <c r="C624" s="197"/>
      <c r="D624" s="17" t="s">
        <v>27</v>
      </c>
      <c r="E624" s="201"/>
      <c r="F624" s="18">
        <v>65.900000000000006</v>
      </c>
      <c r="G624" s="18"/>
      <c r="H624" s="76"/>
      <c r="I624" s="148"/>
      <c r="J624" s="76"/>
      <c r="K624" s="76"/>
      <c r="L624" s="18"/>
      <c r="M624" s="230"/>
      <c r="N624" s="207"/>
    </row>
    <row r="625" spans="1:18" ht="53.25" customHeight="1" x14ac:dyDescent="0.2">
      <c r="A625" s="315"/>
      <c r="B625" s="197"/>
      <c r="C625" s="197"/>
      <c r="D625" s="17" t="s">
        <v>28</v>
      </c>
      <c r="E625" s="201"/>
      <c r="F625" s="18">
        <v>6497.3</v>
      </c>
      <c r="G625" s="21">
        <f>H625+I625+J625+K625+L625</f>
        <v>36984.31</v>
      </c>
      <c r="H625" s="76">
        <v>6709.81</v>
      </c>
      <c r="I625" s="148">
        <v>7920.2</v>
      </c>
      <c r="J625" s="76">
        <v>7920.2</v>
      </c>
      <c r="K625" s="76">
        <v>7920.2</v>
      </c>
      <c r="L625" s="18">
        <f>6318+195.9</f>
        <v>6513.9</v>
      </c>
      <c r="M625" s="230"/>
      <c r="N625" s="207"/>
    </row>
    <row r="626" spans="1:18" ht="47.25" customHeight="1" x14ac:dyDescent="0.2">
      <c r="A626" s="315"/>
      <c r="B626" s="197"/>
      <c r="C626" s="197"/>
      <c r="D626" s="17" t="s">
        <v>29</v>
      </c>
      <c r="E626" s="201"/>
      <c r="F626" s="18"/>
      <c r="G626" s="18"/>
      <c r="H626" s="76"/>
      <c r="I626" s="148"/>
      <c r="J626" s="76"/>
      <c r="K626" s="76"/>
      <c r="L626" s="18"/>
      <c r="M626" s="230"/>
      <c r="N626" s="230"/>
    </row>
    <row r="627" spans="1:18" ht="27" customHeight="1" x14ac:dyDescent="0.2">
      <c r="A627" s="315" t="s">
        <v>122</v>
      </c>
      <c r="B627" s="197" t="s">
        <v>213</v>
      </c>
      <c r="C627" s="197" t="s">
        <v>214</v>
      </c>
      <c r="D627" s="20" t="s">
        <v>34</v>
      </c>
      <c r="E627" s="201"/>
      <c r="F627" s="18">
        <f>F629</f>
        <v>582</v>
      </c>
      <c r="G627" s="18">
        <f t="shared" ref="G627:L627" si="119">G628+G629+G630</f>
        <v>7281.7999999999993</v>
      </c>
      <c r="H627" s="76">
        <f t="shared" si="119"/>
        <v>504.1</v>
      </c>
      <c r="I627" s="148">
        <f t="shared" si="119"/>
        <v>315.60000000000002</v>
      </c>
      <c r="J627" s="76">
        <f>J628+J629+J630</f>
        <v>315.60000000000002</v>
      </c>
      <c r="K627" s="76">
        <f>K628+K629+K630</f>
        <v>315.60000000000002</v>
      </c>
      <c r="L627" s="18">
        <f t="shared" si="119"/>
        <v>5830.9</v>
      </c>
      <c r="M627" s="230" t="s">
        <v>26</v>
      </c>
      <c r="N627" s="207" t="s">
        <v>213</v>
      </c>
    </row>
    <row r="628" spans="1:18" ht="69.75" customHeight="1" x14ac:dyDescent="0.2">
      <c r="A628" s="315"/>
      <c r="B628" s="197"/>
      <c r="C628" s="197"/>
      <c r="D628" s="17" t="s">
        <v>27</v>
      </c>
      <c r="E628" s="201"/>
      <c r="F628" s="18"/>
      <c r="G628" s="18"/>
      <c r="H628" s="76"/>
      <c r="I628" s="148"/>
      <c r="J628" s="76"/>
      <c r="K628" s="76"/>
      <c r="L628" s="23"/>
      <c r="M628" s="230"/>
      <c r="N628" s="207"/>
    </row>
    <row r="629" spans="1:18" ht="45" customHeight="1" x14ac:dyDescent="0.2">
      <c r="A629" s="315"/>
      <c r="B629" s="197"/>
      <c r="C629" s="197"/>
      <c r="D629" s="17" t="s">
        <v>28</v>
      </c>
      <c r="E629" s="201"/>
      <c r="F629" s="18">
        <v>582</v>
      </c>
      <c r="G629" s="18">
        <f>H629+I629+J629+K629+L629</f>
        <v>7281.7999999999993</v>
      </c>
      <c r="H629" s="81">
        <v>504.1</v>
      </c>
      <c r="I629" s="149">
        <v>315.60000000000002</v>
      </c>
      <c r="J629" s="81">
        <v>315.60000000000002</v>
      </c>
      <c r="K629" s="81">
        <v>315.60000000000002</v>
      </c>
      <c r="L629" s="64">
        <v>5830.9</v>
      </c>
      <c r="M629" s="230"/>
      <c r="N629" s="207"/>
    </row>
    <row r="630" spans="1:18" ht="45.75" customHeight="1" x14ac:dyDescent="0.2">
      <c r="A630" s="315"/>
      <c r="B630" s="197"/>
      <c r="C630" s="197"/>
      <c r="D630" s="17" t="s">
        <v>29</v>
      </c>
      <c r="E630" s="201"/>
      <c r="F630" s="18"/>
      <c r="G630" s="18"/>
      <c r="H630" s="76"/>
      <c r="I630" s="148"/>
      <c r="J630" s="18"/>
      <c r="K630" s="21"/>
      <c r="L630" s="21"/>
      <c r="M630" s="230"/>
      <c r="N630" s="230"/>
    </row>
    <row r="631" spans="1:18" s="3" customFormat="1" ht="27.75" customHeight="1" x14ac:dyDescent="0.35">
      <c r="A631" s="234" t="s">
        <v>215</v>
      </c>
      <c r="B631" s="234"/>
      <c r="C631" s="234"/>
      <c r="D631" s="28" t="s">
        <v>34</v>
      </c>
      <c r="E631" s="205"/>
      <c r="F631" s="22">
        <f>F632+F633+F634</f>
        <v>52284.9</v>
      </c>
      <c r="G631" s="22">
        <f t="shared" ref="G631:L631" si="120">G632+G633+G634</f>
        <v>288019.11</v>
      </c>
      <c r="H631" s="92">
        <f t="shared" si="120"/>
        <v>58032.110000000008</v>
      </c>
      <c r="I631" s="151">
        <f t="shared" si="120"/>
        <v>57481.400000000009</v>
      </c>
      <c r="J631" s="22">
        <f t="shared" si="120"/>
        <v>57149.600000000006</v>
      </c>
      <c r="K631" s="22">
        <f t="shared" si="120"/>
        <v>57149.600000000006</v>
      </c>
      <c r="L631" s="22">
        <f t="shared" si="120"/>
        <v>58206.399999999994</v>
      </c>
      <c r="M631" s="29"/>
      <c r="N631" s="29"/>
      <c r="R631" s="112"/>
    </row>
    <row r="632" spans="1:18" s="3" customFormat="1" ht="70.5" customHeight="1" x14ac:dyDescent="0.35">
      <c r="A632" s="234"/>
      <c r="B632" s="234"/>
      <c r="C632" s="234"/>
      <c r="D632" s="28" t="s">
        <v>27</v>
      </c>
      <c r="E632" s="205"/>
      <c r="F632" s="22">
        <f>F572+F588+F604+F620</f>
        <v>176.60000000000002</v>
      </c>
      <c r="G632" s="22">
        <f t="shared" ref="G632:L632" si="121">G572+G588+G604+G620</f>
        <v>0</v>
      </c>
      <c r="H632" s="92">
        <f t="shared" si="121"/>
        <v>0</v>
      </c>
      <c r="I632" s="151">
        <f t="shared" si="121"/>
        <v>0</v>
      </c>
      <c r="J632" s="22">
        <f t="shared" si="121"/>
        <v>0</v>
      </c>
      <c r="K632" s="22">
        <f t="shared" si="121"/>
        <v>0</v>
      </c>
      <c r="L632" s="22">
        <f t="shared" si="121"/>
        <v>0</v>
      </c>
      <c r="M632" s="30"/>
      <c r="N632" s="232"/>
      <c r="R632" s="112"/>
    </row>
    <row r="633" spans="1:18" s="3" customFormat="1" ht="51" customHeight="1" x14ac:dyDescent="0.35">
      <c r="A633" s="234"/>
      <c r="B633" s="234"/>
      <c r="C633" s="234"/>
      <c r="D633" s="28" t="s">
        <v>82</v>
      </c>
      <c r="E633" s="205"/>
      <c r="F633" s="22">
        <f>F573+F589+F605+F621</f>
        <v>52108.3</v>
      </c>
      <c r="G633" s="22">
        <f t="shared" ref="G633:L633" si="122">G573+G589+G605+G621</f>
        <v>288019.11</v>
      </c>
      <c r="H633" s="92">
        <f t="shared" si="122"/>
        <v>58032.110000000008</v>
      </c>
      <c r="I633" s="151">
        <f t="shared" si="122"/>
        <v>57481.400000000009</v>
      </c>
      <c r="J633" s="22">
        <f t="shared" si="122"/>
        <v>57149.600000000006</v>
      </c>
      <c r="K633" s="22">
        <f t="shared" si="122"/>
        <v>57149.600000000006</v>
      </c>
      <c r="L633" s="22">
        <f t="shared" si="122"/>
        <v>58206.399999999994</v>
      </c>
      <c r="M633" s="30"/>
      <c r="N633" s="232"/>
      <c r="R633" s="112"/>
    </row>
    <row r="634" spans="1:18" s="3" customFormat="1" ht="49.5" customHeight="1" x14ac:dyDescent="0.35">
      <c r="A634" s="234"/>
      <c r="B634" s="234"/>
      <c r="C634" s="234"/>
      <c r="D634" s="28" t="s">
        <v>86</v>
      </c>
      <c r="E634" s="205"/>
      <c r="F634" s="22">
        <f>F574+F590+F606</f>
        <v>0</v>
      </c>
      <c r="G634" s="22">
        <f t="shared" ref="G634:L634" si="123">G574+G590+G606</f>
        <v>0</v>
      </c>
      <c r="H634" s="92">
        <f t="shared" si="123"/>
        <v>0</v>
      </c>
      <c r="I634" s="151">
        <f t="shared" si="123"/>
        <v>0</v>
      </c>
      <c r="J634" s="22">
        <f t="shared" si="123"/>
        <v>0</v>
      </c>
      <c r="K634" s="22">
        <f t="shared" si="123"/>
        <v>0</v>
      </c>
      <c r="L634" s="22">
        <f t="shared" si="123"/>
        <v>0</v>
      </c>
      <c r="M634" s="30"/>
      <c r="N634" s="232"/>
      <c r="R634" s="112"/>
    </row>
    <row r="635" spans="1:18" s="3" customFormat="1" ht="33" customHeight="1" x14ac:dyDescent="0.35">
      <c r="A635" s="314" t="s">
        <v>216</v>
      </c>
      <c r="B635" s="314"/>
      <c r="C635" s="314"/>
      <c r="D635" s="28" t="s">
        <v>34</v>
      </c>
      <c r="E635" s="205"/>
      <c r="F635" s="22">
        <f t="shared" ref="F635:L635" si="124">F636+F637+F639+F638</f>
        <v>1206160.8999999999</v>
      </c>
      <c r="G635" s="136">
        <f t="shared" si="124"/>
        <v>6313322.57063</v>
      </c>
      <c r="H635" s="136">
        <f t="shared" si="124"/>
        <v>1444559.7296300002</v>
      </c>
      <c r="I635" s="151">
        <f t="shared" si="124"/>
        <v>1505051.4610000001</v>
      </c>
      <c r="J635" s="136">
        <f t="shared" si="124"/>
        <v>1415032.24</v>
      </c>
      <c r="K635" s="136">
        <f t="shared" si="124"/>
        <v>1415032.24</v>
      </c>
      <c r="L635" s="136">
        <f t="shared" si="124"/>
        <v>536767.30000000005</v>
      </c>
      <c r="M635" s="11"/>
      <c r="N635" s="11"/>
      <c r="R635" s="112"/>
    </row>
    <row r="636" spans="1:18" s="3" customFormat="1" ht="69.75" customHeight="1" x14ac:dyDescent="0.35">
      <c r="A636" s="314"/>
      <c r="B636" s="314"/>
      <c r="C636" s="314"/>
      <c r="D636" s="28" t="s">
        <v>27</v>
      </c>
      <c r="E636" s="205"/>
      <c r="F636" s="22">
        <f t="shared" ref="F636:L636" si="125">F173+F442+F557+F632</f>
        <v>765437.7</v>
      </c>
      <c r="G636" s="136">
        <f t="shared" si="125"/>
        <v>3574406.4</v>
      </c>
      <c r="H636" s="136">
        <f t="shared" si="125"/>
        <v>885304.4</v>
      </c>
      <c r="I636" s="151">
        <f t="shared" si="125"/>
        <v>896378</v>
      </c>
      <c r="J636" s="136">
        <f t="shared" si="125"/>
        <v>896362</v>
      </c>
      <c r="K636" s="136">
        <f t="shared" si="125"/>
        <v>896362</v>
      </c>
      <c r="L636" s="136">
        <f t="shared" si="125"/>
        <v>0</v>
      </c>
      <c r="M636" s="30"/>
      <c r="N636" s="232"/>
      <c r="R636" s="112"/>
    </row>
    <row r="637" spans="1:18" ht="51.75" customHeight="1" x14ac:dyDescent="0.35">
      <c r="A637" s="314"/>
      <c r="B637" s="314"/>
      <c r="C637" s="314"/>
      <c r="D637" s="28" t="s">
        <v>82</v>
      </c>
      <c r="E637" s="205"/>
      <c r="F637" s="22">
        <f t="shared" ref="F637:L637" si="126">F175+F444+F558+F633</f>
        <v>440723.20000000001</v>
      </c>
      <c r="G637" s="136">
        <f t="shared" si="126"/>
        <v>2656760.8706299998</v>
      </c>
      <c r="H637" s="136">
        <f t="shared" si="126"/>
        <v>514399.52963</v>
      </c>
      <c r="I637" s="151">
        <f t="shared" si="126"/>
        <v>568253.5610000001</v>
      </c>
      <c r="J637" s="136">
        <f t="shared" si="126"/>
        <v>518670.24</v>
      </c>
      <c r="K637" s="136">
        <f t="shared" si="126"/>
        <v>518670.24</v>
      </c>
      <c r="L637" s="136">
        <f t="shared" si="126"/>
        <v>536767.30000000005</v>
      </c>
      <c r="M637" s="30"/>
      <c r="N637" s="232"/>
      <c r="R637" s="113"/>
    </row>
    <row r="638" spans="1:18" ht="51.75" customHeight="1" x14ac:dyDescent="0.35">
      <c r="A638" s="314"/>
      <c r="B638" s="314"/>
      <c r="C638" s="314"/>
      <c r="D638" s="28" t="s">
        <v>292</v>
      </c>
      <c r="E638" s="205"/>
      <c r="F638" s="22">
        <f>F174</f>
        <v>0</v>
      </c>
      <c r="G638" s="136">
        <f>G174</f>
        <v>82155.3</v>
      </c>
      <c r="H638" s="136">
        <f>H174+H443</f>
        <v>44855.8</v>
      </c>
      <c r="I638" s="151">
        <f>I174+I443</f>
        <v>40419.9</v>
      </c>
      <c r="J638" s="136">
        <f>J174</f>
        <v>0</v>
      </c>
      <c r="K638" s="136">
        <f>K174</f>
        <v>0</v>
      </c>
      <c r="L638" s="136">
        <f>L174</f>
        <v>0</v>
      </c>
      <c r="M638" s="30"/>
      <c r="N638" s="232"/>
      <c r="R638" s="113"/>
    </row>
    <row r="639" spans="1:18" ht="47.25" customHeight="1" x14ac:dyDescent="0.35">
      <c r="A639" s="314"/>
      <c r="B639" s="314"/>
      <c r="C639" s="314"/>
      <c r="D639" s="28" t="s">
        <v>86</v>
      </c>
      <c r="E639" s="205"/>
      <c r="F639" s="22">
        <f>F578+F594+F610</f>
        <v>0</v>
      </c>
      <c r="G639" s="136">
        <f t="shared" ref="G639:L639" si="127">G176+G445+G559+G634</f>
        <v>0</v>
      </c>
      <c r="H639" s="136">
        <f t="shared" si="127"/>
        <v>0</v>
      </c>
      <c r="I639" s="151">
        <f t="shared" si="127"/>
        <v>0</v>
      </c>
      <c r="J639" s="136">
        <f t="shared" si="127"/>
        <v>0</v>
      </c>
      <c r="K639" s="136">
        <f t="shared" si="127"/>
        <v>0</v>
      </c>
      <c r="L639" s="136">
        <f t="shared" si="127"/>
        <v>0</v>
      </c>
      <c r="M639" s="30"/>
      <c r="N639" s="232"/>
      <c r="R639" s="113"/>
    </row>
    <row r="640" spans="1:18" ht="24.2" customHeight="1" x14ac:dyDescent="0.2"/>
    <row r="642" spans="14:14" ht="30" customHeight="1" x14ac:dyDescent="0.3">
      <c r="N642" s="96">
        <f>H635-H32-H33-H269-H402-H524</f>
        <v>1337559.8296300003</v>
      </c>
    </row>
  </sheetData>
  <sheetProtection selectLockedCells="1" selectUnlockedCells="1"/>
  <mergeCells count="899">
    <mergeCell ref="A327:A331"/>
    <mergeCell ref="B327:B331"/>
    <mergeCell ref="C327:C331"/>
    <mergeCell ref="E327:E331"/>
    <mergeCell ref="M327:M331"/>
    <mergeCell ref="N327:N331"/>
    <mergeCell ref="A322:A326"/>
    <mergeCell ref="B322:B326"/>
    <mergeCell ref="C322:C326"/>
    <mergeCell ref="E322:E326"/>
    <mergeCell ref="M322:M326"/>
    <mergeCell ref="N322:N326"/>
    <mergeCell ref="N317:N321"/>
    <mergeCell ref="A504:A507"/>
    <mergeCell ref="B504:B507"/>
    <mergeCell ref="C504:C507"/>
    <mergeCell ref="E504:E507"/>
    <mergeCell ref="M504:M507"/>
    <mergeCell ref="N504:N507"/>
    <mergeCell ref="A429:A432"/>
    <mergeCell ref="B429:B432"/>
    <mergeCell ref="A437:A440"/>
    <mergeCell ref="A520:A523"/>
    <mergeCell ref="B520:B523"/>
    <mergeCell ref="C520:C523"/>
    <mergeCell ref="E520:E523"/>
    <mergeCell ref="M520:M523"/>
    <mergeCell ref="N520:N523"/>
    <mergeCell ref="B437:B440"/>
    <mergeCell ref="C437:C440"/>
    <mergeCell ref="E437:E440"/>
    <mergeCell ref="M437:M440"/>
    <mergeCell ref="N437:N440"/>
    <mergeCell ref="N168:N171"/>
    <mergeCell ref="M317:M321"/>
    <mergeCell ref="M292:M296"/>
    <mergeCell ref="N292:N296"/>
    <mergeCell ref="N272:N276"/>
    <mergeCell ref="A433:A436"/>
    <mergeCell ref="B433:B436"/>
    <mergeCell ref="C433:C436"/>
    <mergeCell ref="E433:E436"/>
    <mergeCell ref="M433:M436"/>
    <mergeCell ref="C429:C432"/>
    <mergeCell ref="E429:E432"/>
    <mergeCell ref="M429:M432"/>
    <mergeCell ref="A160:A163"/>
    <mergeCell ref="B160:B163"/>
    <mergeCell ref="C160:C163"/>
    <mergeCell ref="E160:E163"/>
    <mergeCell ref="M160:M163"/>
    <mergeCell ref="N160:N163"/>
    <mergeCell ref="B552:B555"/>
    <mergeCell ref="C552:C555"/>
    <mergeCell ref="E552:E555"/>
    <mergeCell ref="M552:M555"/>
    <mergeCell ref="N552:N555"/>
    <mergeCell ref="A152:A155"/>
    <mergeCell ref="B152:B155"/>
    <mergeCell ref="C152:C155"/>
    <mergeCell ref="E152:E155"/>
    <mergeCell ref="M152:M155"/>
    <mergeCell ref="A561:N561"/>
    <mergeCell ref="A292:A296"/>
    <mergeCell ref="B292:B296"/>
    <mergeCell ref="A297:A301"/>
    <mergeCell ref="B297:B301"/>
    <mergeCell ref="C297:C301"/>
    <mergeCell ref="E297:E301"/>
    <mergeCell ref="M297:M301"/>
    <mergeCell ref="N548:N551"/>
    <mergeCell ref="A552:A555"/>
    <mergeCell ref="N277:N281"/>
    <mergeCell ref="M282:M286"/>
    <mergeCell ref="N282:N286"/>
    <mergeCell ref="M287:M291"/>
    <mergeCell ref="N287:N291"/>
    <mergeCell ref="M277:M281"/>
    <mergeCell ref="M272:M276"/>
    <mergeCell ref="N259:N263"/>
    <mergeCell ref="M259:M263"/>
    <mergeCell ref="M251:M254"/>
    <mergeCell ref="N251:N254"/>
    <mergeCell ref="M268:M271"/>
    <mergeCell ref="N268:N271"/>
    <mergeCell ref="A116:A119"/>
    <mergeCell ref="B116:B119"/>
    <mergeCell ref="C116:C119"/>
    <mergeCell ref="E116:E119"/>
    <mergeCell ref="N297:N301"/>
    <mergeCell ref="M112:M115"/>
    <mergeCell ref="N112:N115"/>
    <mergeCell ref="M116:M119"/>
    <mergeCell ref="N116:N119"/>
    <mergeCell ref="M264:M267"/>
    <mergeCell ref="A108:A111"/>
    <mergeCell ref="B108:B111"/>
    <mergeCell ref="C108:C111"/>
    <mergeCell ref="E108:E111"/>
    <mergeCell ref="A112:A115"/>
    <mergeCell ref="B112:B115"/>
    <mergeCell ref="C112:C115"/>
    <mergeCell ref="E112:E115"/>
    <mergeCell ref="C488:C491"/>
    <mergeCell ref="E488:E491"/>
    <mergeCell ref="C492:C495"/>
    <mergeCell ref="E492:E495"/>
    <mergeCell ref="B492:B495"/>
    <mergeCell ref="E480:E483"/>
    <mergeCell ref="B460:B463"/>
    <mergeCell ref="A277:A281"/>
    <mergeCell ref="B417:B420"/>
    <mergeCell ref="C484:C487"/>
    <mergeCell ref="E484:E487"/>
    <mergeCell ref="C476:C479"/>
    <mergeCell ref="E476:E479"/>
    <mergeCell ref="C460:C463"/>
    <mergeCell ref="A464:A467"/>
    <mergeCell ref="B464:B467"/>
    <mergeCell ref="B277:B281"/>
    <mergeCell ref="C277:C281"/>
    <mergeCell ref="E277:E281"/>
    <mergeCell ref="C292:C296"/>
    <mergeCell ref="E292:E296"/>
    <mergeCell ref="C417:C420"/>
    <mergeCell ref="E417:E420"/>
    <mergeCell ref="B367:B371"/>
    <mergeCell ref="E352:E356"/>
    <mergeCell ref="E302:E306"/>
    <mergeCell ref="M421:M424"/>
    <mergeCell ref="M472:M475"/>
    <mergeCell ref="M460:M463"/>
    <mergeCell ref="M464:M467"/>
    <mergeCell ref="N464:N467"/>
    <mergeCell ref="N468:N471"/>
    <mergeCell ref="N472:N475"/>
    <mergeCell ref="M468:M471"/>
    <mergeCell ref="N433:N436"/>
    <mergeCell ref="N429:N432"/>
    <mergeCell ref="A476:A479"/>
    <mergeCell ref="B476:B479"/>
    <mergeCell ref="N417:N420"/>
    <mergeCell ref="M492:M495"/>
    <mergeCell ref="N492:N495"/>
    <mergeCell ref="M488:M491"/>
    <mergeCell ref="N488:N491"/>
    <mergeCell ref="M484:M487"/>
    <mergeCell ref="M476:M479"/>
    <mergeCell ref="N476:N479"/>
    <mergeCell ref="M417:M420"/>
    <mergeCell ref="C421:C424"/>
    <mergeCell ref="N540:N543"/>
    <mergeCell ref="A544:A547"/>
    <mergeCell ref="B544:B547"/>
    <mergeCell ref="C544:C547"/>
    <mergeCell ref="E544:E547"/>
    <mergeCell ref="M544:M547"/>
    <mergeCell ref="N544:N547"/>
    <mergeCell ref="M540:M543"/>
    <mergeCell ref="M48:M51"/>
    <mergeCell ref="N48:N51"/>
    <mergeCell ref="A425:A428"/>
    <mergeCell ref="B425:B428"/>
    <mergeCell ref="C425:C428"/>
    <mergeCell ref="E425:E428"/>
    <mergeCell ref="M425:M428"/>
    <mergeCell ref="N425:N428"/>
    <mergeCell ref="A417:A420"/>
    <mergeCell ref="A48:A51"/>
    <mergeCell ref="B48:B51"/>
    <mergeCell ref="C48:C51"/>
    <mergeCell ref="A401:A404"/>
    <mergeCell ref="A382:A386"/>
    <mergeCell ref="B382:B386"/>
    <mergeCell ref="C382:C386"/>
    <mergeCell ref="A367:A371"/>
    <mergeCell ref="C367:C371"/>
    <mergeCell ref="A362:A366"/>
    <mergeCell ref="B362:B366"/>
    <mergeCell ref="E48:E51"/>
    <mergeCell ref="M39:M42"/>
    <mergeCell ref="N39:N42"/>
    <mergeCell ref="A43:A47"/>
    <mergeCell ref="B43:B47"/>
    <mergeCell ref="C43:C47"/>
    <mergeCell ref="E43:E47"/>
    <mergeCell ref="M43:M47"/>
    <mergeCell ref="N43:N47"/>
    <mergeCell ref="A39:A42"/>
    <mergeCell ref="N35:N38"/>
    <mergeCell ref="B39:B42"/>
    <mergeCell ref="C39:C42"/>
    <mergeCell ref="E39:E42"/>
    <mergeCell ref="M30:M34"/>
    <mergeCell ref="E30:E34"/>
    <mergeCell ref="C623:C626"/>
    <mergeCell ref="A611:A614"/>
    <mergeCell ref="B611:B614"/>
    <mergeCell ref="C611:C614"/>
    <mergeCell ref="N30:N34"/>
    <mergeCell ref="A35:A38"/>
    <mergeCell ref="B35:B38"/>
    <mergeCell ref="C35:C38"/>
    <mergeCell ref="E35:E38"/>
    <mergeCell ref="M35:M38"/>
    <mergeCell ref="A631:C634"/>
    <mergeCell ref="E631:E634"/>
    <mergeCell ref="N632:N634"/>
    <mergeCell ref="N627:N630"/>
    <mergeCell ref="N623:N626"/>
    <mergeCell ref="A30:A34"/>
    <mergeCell ref="B30:B34"/>
    <mergeCell ref="C30:C34"/>
    <mergeCell ref="A623:A626"/>
    <mergeCell ref="B623:B626"/>
    <mergeCell ref="E619:E622"/>
    <mergeCell ref="C615:C618"/>
    <mergeCell ref="A635:C639"/>
    <mergeCell ref="E635:E639"/>
    <mergeCell ref="N636:N639"/>
    <mergeCell ref="A627:A630"/>
    <mergeCell ref="B627:B630"/>
    <mergeCell ref="C627:C630"/>
    <mergeCell ref="E627:E630"/>
    <mergeCell ref="M627:M630"/>
    <mergeCell ref="M615:M618"/>
    <mergeCell ref="N615:N618"/>
    <mergeCell ref="M619:M622"/>
    <mergeCell ref="E623:E626"/>
    <mergeCell ref="M623:M626"/>
    <mergeCell ref="A615:A618"/>
    <mergeCell ref="B615:B618"/>
    <mergeCell ref="A619:A622"/>
    <mergeCell ref="B619:B622"/>
    <mergeCell ref="C619:C622"/>
    <mergeCell ref="N619:N622"/>
    <mergeCell ref="E611:E614"/>
    <mergeCell ref="A607:A610"/>
    <mergeCell ref="B607:B610"/>
    <mergeCell ref="C607:C610"/>
    <mergeCell ref="E607:E610"/>
    <mergeCell ref="E615:E618"/>
    <mergeCell ref="N607:N610"/>
    <mergeCell ref="M611:M614"/>
    <mergeCell ref="N611:N614"/>
    <mergeCell ref="M603:M606"/>
    <mergeCell ref="M607:M610"/>
    <mergeCell ref="N603:N606"/>
    <mergeCell ref="A599:A602"/>
    <mergeCell ref="B599:B602"/>
    <mergeCell ref="A603:A606"/>
    <mergeCell ref="B603:B606"/>
    <mergeCell ref="C603:C606"/>
    <mergeCell ref="E603:E606"/>
    <mergeCell ref="C599:C602"/>
    <mergeCell ref="E599:E602"/>
    <mergeCell ref="M591:M594"/>
    <mergeCell ref="N591:N594"/>
    <mergeCell ref="M595:M598"/>
    <mergeCell ref="N595:N598"/>
    <mergeCell ref="M599:M602"/>
    <mergeCell ref="N599:N602"/>
    <mergeCell ref="B595:B598"/>
    <mergeCell ref="C595:C598"/>
    <mergeCell ref="E595:E598"/>
    <mergeCell ref="A591:A594"/>
    <mergeCell ref="B591:B594"/>
    <mergeCell ref="C591:C594"/>
    <mergeCell ref="E591:E594"/>
    <mergeCell ref="A595:A598"/>
    <mergeCell ref="M587:M590"/>
    <mergeCell ref="N587:N590"/>
    <mergeCell ref="M583:M586"/>
    <mergeCell ref="N583:N586"/>
    <mergeCell ref="A587:A590"/>
    <mergeCell ref="B587:B590"/>
    <mergeCell ref="C587:C590"/>
    <mergeCell ref="E587:E590"/>
    <mergeCell ref="E575:E578"/>
    <mergeCell ref="A579:A582"/>
    <mergeCell ref="B579:B582"/>
    <mergeCell ref="C579:C582"/>
    <mergeCell ref="N575:N578"/>
    <mergeCell ref="M579:M582"/>
    <mergeCell ref="N579:N582"/>
    <mergeCell ref="M571:M574"/>
    <mergeCell ref="E571:E574"/>
    <mergeCell ref="C571:C574"/>
    <mergeCell ref="B571:B574"/>
    <mergeCell ref="E579:E582"/>
    <mergeCell ref="A583:A586"/>
    <mergeCell ref="B583:B586"/>
    <mergeCell ref="M575:M578"/>
    <mergeCell ref="C583:C586"/>
    <mergeCell ref="E583:E586"/>
    <mergeCell ref="B568:B569"/>
    <mergeCell ref="A571:A574"/>
    <mergeCell ref="C564:C566"/>
    <mergeCell ref="A575:A578"/>
    <mergeCell ref="B575:B578"/>
    <mergeCell ref="C575:C578"/>
    <mergeCell ref="A548:A551"/>
    <mergeCell ref="B548:B551"/>
    <mergeCell ref="C548:C551"/>
    <mergeCell ref="N571:N574"/>
    <mergeCell ref="J564:N564"/>
    <mergeCell ref="J565:N565"/>
    <mergeCell ref="J566:N566"/>
    <mergeCell ref="A567:N567"/>
    <mergeCell ref="M568:M569"/>
    <mergeCell ref="A568:A569"/>
    <mergeCell ref="E548:E551"/>
    <mergeCell ref="C568:C569"/>
    <mergeCell ref="D568:D569"/>
    <mergeCell ref="N568:N569"/>
    <mergeCell ref="E568:E569"/>
    <mergeCell ref="G568:G569"/>
    <mergeCell ref="H568:L568"/>
    <mergeCell ref="D564:D566"/>
    <mergeCell ref="N557:N559"/>
    <mergeCell ref="A556:C559"/>
    <mergeCell ref="A540:A543"/>
    <mergeCell ref="B540:B543"/>
    <mergeCell ref="M548:M551"/>
    <mergeCell ref="B536:B539"/>
    <mergeCell ref="A536:A539"/>
    <mergeCell ref="A564:A566"/>
    <mergeCell ref="B564:B566"/>
    <mergeCell ref="F564:F566"/>
    <mergeCell ref="G564:G566"/>
    <mergeCell ref="E556:E559"/>
    <mergeCell ref="C536:C539"/>
    <mergeCell ref="E536:E539"/>
    <mergeCell ref="N536:N539"/>
    <mergeCell ref="M532:M535"/>
    <mergeCell ref="A532:A535"/>
    <mergeCell ref="B532:B535"/>
    <mergeCell ref="C532:C535"/>
    <mergeCell ref="E532:E535"/>
    <mergeCell ref="M536:M539"/>
    <mergeCell ref="N516:N519"/>
    <mergeCell ref="M524:M527"/>
    <mergeCell ref="N524:N527"/>
    <mergeCell ref="M528:M531"/>
    <mergeCell ref="N528:N531"/>
    <mergeCell ref="N532:N535"/>
    <mergeCell ref="A528:A531"/>
    <mergeCell ref="B528:B531"/>
    <mergeCell ref="C528:C531"/>
    <mergeCell ref="E528:E531"/>
    <mergeCell ref="A524:A527"/>
    <mergeCell ref="B524:B527"/>
    <mergeCell ref="C524:C527"/>
    <mergeCell ref="E524:E527"/>
    <mergeCell ref="E512:E515"/>
    <mergeCell ref="C508:C511"/>
    <mergeCell ref="E508:E511"/>
    <mergeCell ref="M508:M511"/>
    <mergeCell ref="A516:A519"/>
    <mergeCell ref="B516:B519"/>
    <mergeCell ref="C516:C519"/>
    <mergeCell ref="E516:E519"/>
    <mergeCell ref="M512:M515"/>
    <mergeCell ref="M516:M519"/>
    <mergeCell ref="A492:A495"/>
    <mergeCell ref="M496:M499"/>
    <mergeCell ref="N496:N499"/>
    <mergeCell ref="A500:A503"/>
    <mergeCell ref="N512:N515"/>
    <mergeCell ref="A508:A511"/>
    <mergeCell ref="B508:B511"/>
    <mergeCell ref="A512:A515"/>
    <mergeCell ref="B512:B515"/>
    <mergeCell ref="C512:C515"/>
    <mergeCell ref="N508:N511"/>
    <mergeCell ref="A496:A499"/>
    <mergeCell ref="B496:B499"/>
    <mergeCell ref="C496:C499"/>
    <mergeCell ref="E496:E499"/>
    <mergeCell ref="M500:M503"/>
    <mergeCell ref="N500:N503"/>
    <mergeCell ref="B500:B503"/>
    <mergeCell ref="C500:C503"/>
    <mergeCell ref="E500:E503"/>
    <mergeCell ref="N480:N483"/>
    <mergeCell ref="N484:N487"/>
    <mergeCell ref="A480:A483"/>
    <mergeCell ref="B480:B483"/>
    <mergeCell ref="C480:C483"/>
    <mergeCell ref="A488:A491"/>
    <mergeCell ref="B488:B491"/>
    <mergeCell ref="M480:M483"/>
    <mergeCell ref="A484:A487"/>
    <mergeCell ref="B484:B487"/>
    <mergeCell ref="A468:A471"/>
    <mergeCell ref="B468:B471"/>
    <mergeCell ref="A472:A475"/>
    <mergeCell ref="B472:B475"/>
    <mergeCell ref="C472:C475"/>
    <mergeCell ref="E464:E467"/>
    <mergeCell ref="C468:C471"/>
    <mergeCell ref="E468:E471"/>
    <mergeCell ref="C464:C467"/>
    <mergeCell ref="E472:E475"/>
    <mergeCell ref="E460:E463"/>
    <mergeCell ref="N453:N454"/>
    <mergeCell ref="A456:A459"/>
    <mergeCell ref="B456:B459"/>
    <mergeCell ref="C456:C459"/>
    <mergeCell ref="E456:E459"/>
    <mergeCell ref="M456:M459"/>
    <mergeCell ref="N456:N459"/>
    <mergeCell ref="N460:N463"/>
    <mergeCell ref="A460:A463"/>
    <mergeCell ref="B453:B454"/>
    <mergeCell ref="C453:C454"/>
    <mergeCell ref="D453:D454"/>
    <mergeCell ref="E453:E454"/>
    <mergeCell ref="G453:G454"/>
    <mergeCell ref="H453:L453"/>
    <mergeCell ref="G448:G450"/>
    <mergeCell ref="H448:H450"/>
    <mergeCell ref="M453:M454"/>
    <mergeCell ref="I448:I450"/>
    <mergeCell ref="J448:K450"/>
    <mergeCell ref="L448:N449"/>
    <mergeCell ref="L450:N450"/>
    <mergeCell ref="A451:N451"/>
    <mergeCell ref="A452:N452"/>
    <mergeCell ref="A453:A454"/>
    <mergeCell ref="A448:A450"/>
    <mergeCell ref="B448:B450"/>
    <mergeCell ref="C448:C450"/>
    <mergeCell ref="D448:D450"/>
    <mergeCell ref="E448:E450"/>
    <mergeCell ref="F448:F450"/>
    <mergeCell ref="M413:M416"/>
    <mergeCell ref="N413:N416"/>
    <mergeCell ref="A441:C445"/>
    <mergeCell ref="E441:E445"/>
    <mergeCell ref="M441:M445"/>
    <mergeCell ref="N441:N445"/>
    <mergeCell ref="A413:A416"/>
    <mergeCell ref="B413:B416"/>
    <mergeCell ref="C413:C416"/>
    <mergeCell ref="E413:E416"/>
    <mergeCell ref="M401:M404"/>
    <mergeCell ref="N401:N404"/>
    <mergeCell ref="B409:B412"/>
    <mergeCell ref="E409:E412"/>
    <mergeCell ref="M409:M412"/>
    <mergeCell ref="N409:N412"/>
    <mergeCell ref="B401:B404"/>
    <mergeCell ref="C401:C404"/>
    <mergeCell ref="E401:E404"/>
    <mergeCell ref="C409:C412"/>
    <mergeCell ref="A392:A396"/>
    <mergeCell ref="B392:B396"/>
    <mergeCell ref="A397:A400"/>
    <mergeCell ref="B397:B400"/>
    <mergeCell ref="C397:C400"/>
    <mergeCell ref="E397:E400"/>
    <mergeCell ref="C392:C396"/>
    <mergeCell ref="E392:E396"/>
    <mergeCell ref="M382:M386"/>
    <mergeCell ref="N382:N386"/>
    <mergeCell ref="M387:M391"/>
    <mergeCell ref="N387:N391"/>
    <mergeCell ref="N377:N381"/>
    <mergeCell ref="M397:M400"/>
    <mergeCell ref="N397:N400"/>
    <mergeCell ref="N362:N366"/>
    <mergeCell ref="M367:M371"/>
    <mergeCell ref="N367:N371"/>
    <mergeCell ref="E372:E376"/>
    <mergeCell ref="A387:A391"/>
    <mergeCell ref="B387:B391"/>
    <mergeCell ref="C387:C391"/>
    <mergeCell ref="E387:E391"/>
    <mergeCell ref="E382:E386"/>
    <mergeCell ref="M377:M381"/>
    <mergeCell ref="A352:A356"/>
    <mergeCell ref="B352:B356"/>
    <mergeCell ref="C352:C356"/>
    <mergeCell ref="C377:C381"/>
    <mergeCell ref="E377:E381"/>
    <mergeCell ref="C372:C376"/>
    <mergeCell ref="A372:A376"/>
    <mergeCell ref="B372:B376"/>
    <mergeCell ref="A377:A381"/>
    <mergeCell ref="B377:B381"/>
    <mergeCell ref="A357:A361"/>
    <mergeCell ref="B357:B361"/>
    <mergeCell ref="A342:A346"/>
    <mergeCell ref="B342:B346"/>
    <mergeCell ref="E367:E371"/>
    <mergeCell ref="C362:C366"/>
    <mergeCell ref="E362:E366"/>
    <mergeCell ref="A347:A351"/>
    <mergeCell ref="B347:B351"/>
    <mergeCell ref="E342:E346"/>
    <mergeCell ref="C307:C311"/>
    <mergeCell ref="E307:E311"/>
    <mergeCell ref="C312:C316"/>
    <mergeCell ref="E312:E316"/>
    <mergeCell ref="C337:C341"/>
    <mergeCell ref="E337:E341"/>
    <mergeCell ref="C317:C321"/>
    <mergeCell ref="E317:E321"/>
    <mergeCell ref="A307:A311"/>
    <mergeCell ref="B307:B311"/>
    <mergeCell ref="A337:A341"/>
    <mergeCell ref="B337:B341"/>
    <mergeCell ref="A312:A316"/>
    <mergeCell ref="B312:B316"/>
    <mergeCell ref="A332:A336"/>
    <mergeCell ref="B332:B336"/>
    <mergeCell ref="A317:A321"/>
    <mergeCell ref="B317:B321"/>
    <mergeCell ref="A264:A267"/>
    <mergeCell ref="A259:A263"/>
    <mergeCell ref="B259:B263"/>
    <mergeCell ref="C259:C263"/>
    <mergeCell ref="E259:E263"/>
    <mergeCell ref="A272:A276"/>
    <mergeCell ref="B272:B276"/>
    <mergeCell ref="C272:C276"/>
    <mergeCell ref="A268:A271"/>
    <mergeCell ref="B268:B271"/>
    <mergeCell ref="B264:B267"/>
    <mergeCell ref="C264:C267"/>
    <mergeCell ref="E264:E267"/>
    <mergeCell ref="H271:K271"/>
    <mergeCell ref="E268:E271"/>
    <mergeCell ref="N264:N267"/>
    <mergeCell ref="C268:C271"/>
    <mergeCell ref="M247:M250"/>
    <mergeCell ref="N247:N250"/>
    <mergeCell ref="A251:A254"/>
    <mergeCell ref="B251:B254"/>
    <mergeCell ref="C251:C254"/>
    <mergeCell ref="E251:E254"/>
    <mergeCell ref="A247:A250"/>
    <mergeCell ref="B247:B250"/>
    <mergeCell ref="C247:C250"/>
    <mergeCell ref="E247:E250"/>
    <mergeCell ref="A243:A246"/>
    <mergeCell ref="B243:B246"/>
    <mergeCell ref="C243:C246"/>
    <mergeCell ref="E243:E246"/>
    <mergeCell ref="M243:M246"/>
    <mergeCell ref="N243:N246"/>
    <mergeCell ref="A235:A238"/>
    <mergeCell ref="B235:B238"/>
    <mergeCell ref="C235:C238"/>
    <mergeCell ref="E235:E238"/>
    <mergeCell ref="M239:M242"/>
    <mergeCell ref="N239:N242"/>
    <mergeCell ref="A239:A242"/>
    <mergeCell ref="B239:B242"/>
    <mergeCell ref="N235:N238"/>
    <mergeCell ref="M235:M238"/>
    <mergeCell ref="A226:A229"/>
    <mergeCell ref="B226:B229"/>
    <mergeCell ref="C226:C229"/>
    <mergeCell ref="A230:A234"/>
    <mergeCell ref="B230:B234"/>
    <mergeCell ref="C230:C234"/>
    <mergeCell ref="A222:A225"/>
    <mergeCell ref="B222:B225"/>
    <mergeCell ref="C222:C225"/>
    <mergeCell ref="E222:E225"/>
    <mergeCell ref="C218:C221"/>
    <mergeCell ref="E218:E221"/>
    <mergeCell ref="M209:M213"/>
    <mergeCell ref="N209:N213"/>
    <mergeCell ref="M214:M217"/>
    <mergeCell ref="N214:N217"/>
    <mergeCell ref="M222:M225"/>
    <mergeCell ref="N222:N225"/>
    <mergeCell ref="M218:M221"/>
    <mergeCell ref="N218:N221"/>
    <mergeCell ref="A214:A217"/>
    <mergeCell ref="B214:B217"/>
    <mergeCell ref="C214:C217"/>
    <mergeCell ref="E214:E217"/>
    <mergeCell ref="A218:A221"/>
    <mergeCell ref="B218:B221"/>
    <mergeCell ref="B205:B208"/>
    <mergeCell ref="C205:C208"/>
    <mergeCell ref="E205:E208"/>
    <mergeCell ref="C200:C204"/>
    <mergeCell ref="E200:E204"/>
    <mergeCell ref="A209:A213"/>
    <mergeCell ref="B209:B213"/>
    <mergeCell ref="C209:C213"/>
    <mergeCell ref="E209:E213"/>
    <mergeCell ref="C196:C199"/>
    <mergeCell ref="E196:E199"/>
    <mergeCell ref="A192:A195"/>
    <mergeCell ref="M196:M199"/>
    <mergeCell ref="N196:N199"/>
    <mergeCell ref="M205:M208"/>
    <mergeCell ref="N205:N208"/>
    <mergeCell ref="A200:A204"/>
    <mergeCell ref="B200:B204"/>
    <mergeCell ref="A205:A208"/>
    <mergeCell ref="M192:M195"/>
    <mergeCell ref="N192:N195"/>
    <mergeCell ref="E184:E185"/>
    <mergeCell ref="M200:M204"/>
    <mergeCell ref="N200:N204"/>
    <mergeCell ref="A184:A185"/>
    <mergeCell ref="G184:G185"/>
    <mergeCell ref="H184:L184"/>
    <mergeCell ref="A196:A199"/>
    <mergeCell ref="B196:B199"/>
    <mergeCell ref="B192:B195"/>
    <mergeCell ref="C192:C195"/>
    <mergeCell ref="A187:A191"/>
    <mergeCell ref="B187:B191"/>
    <mergeCell ref="C187:C191"/>
    <mergeCell ref="E192:E195"/>
    <mergeCell ref="E187:E191"/>
    <mergeCell ref="M187:M191"/>
    <mergeCell ref="N187:N191"/>
    <mergeCell ref="C156:C159"/>
    <mergeCell ref="E156:E159"/>
    <mergeCell ref="A180:N180"/>
    <mergeCell ref="A183:N183"/>
    <mergeCell ref="M184:M185"/>
    <mergeCell ref="N184:N185"/>
    <mergeCell ref="A172:C176"/>
    <mergeCell ref="A156:A159"/>
    <mergeCell ref="A179:N179"/>
    <mergeCell ref="N173:N176"/>
    <mergeCell ref="E164:E167"/>
    <mergeCell ref="M164:M167"/>
    <mergeCell ref="N164:N167"/>
    <mergeCell ref="A168:A171"/>
    <mergeCell ref="B168:B171"/>
    <mergeCell ref="C168:C171"/>
    <mergeCell ref="E168:E171"/>
    <mergeCell ref="M168:M171"/>
    <mergeCell ref="M156:M159"/>
    <mergeCell ref="N156:N159"/>
    <mergeCell ref="M148:M151"/>
    <mergeCell ref="N148:N151"/>
    <mergeCell ref="B148:B151"/>
    <mergeCell ref="N152:N155"/>
    <mergeCell ref="B156:B159"/>
    <mergeCell ref="E148:E151"/>
    <mergeCell ref="C104:C107"/>
    <mergeCell ref="E104:E107"/>
    <mergeCell ref="M108:M111"/>
    <mergeCell ref="N108:N111"/>
    <mergeCell ref="M100:M103"/>
    <mergeCell ref="N100:N103"/>
    <mergeCell ref="M104:M107"/>
    <mergeCell ref="N104:N107"/>
    <mergeCell ref="M96:M99"/>
    <mergeCell ref="N96:N99"/>
    <mergeCell ref="C96:C99"/>
    <mergeCell ref="E96:E99"/>
    <mergeCell ref="A100:A103"/>
    <mergeCell ref="B100:B103"/>
    <mergeCell ref="C100:C103"/>
    <mergeCell ref="E100:E103"/>
    <mergeCell ref="A92:A95"/>
    <mergeCell ref="B92:B95"/>
    <mergeCell ref="A96:A99"/>
    <mergeCell ref="B96:B99"/>
    <mergeCell ref="A104:A107"/>
    <mergeCell ref="B104:B107"/>
    <mergeCell ref="C92:C95"/>
    <mergeCell ref="E92:E95"/>
    <mergeCell ref="M84:M87"/>
    <mergeCell ref="N84:N87"/>
    <mergeCell ref="M88:M91"/>
    <mergeCell ref="N88:N91"/>
    <mergeCell ref="M92:M95"/>
    <mergeCell ref="N92:N95"/>
    <mergeCell ref="A84:A87"/>
    <mergeCell ref="B84:B87"/>
    <mergeCell ref="C84:C87"/>
    <mergeCell ref="E84:E87"/>
    <mergeCell ref="A88:A91"/>
    <mergeCell ref="B88:B91"/>
    <mergeCell ref="C88:C91"/>
    <mergeCell ref="E88:E91"/>
    <mergeCell ref="A76:A79"/>
    <mergeCell ref="B76:B79"/>
    <mergeCell ref="A80:A83"/>
    <mergeCell ref="B80:B83"/>
    <mergeCell ref="C80:C83"/>
    <mergeCell ref="E80:E83"/>
    <mergeCell ref="C76:C79"/>
    <mergeCell ref="E76:E79"/>
    <mergeCell ref="M68:M71"/>
    <mergeCell ref="N68:N71"/>
    <mergeCell ref="M72:M75"/>
    <mergeCell ref="N72:N75"/>
    <mergeCell ref="M80:M83"/>
    <mergeCell ref="N80:N83"/>
    <mergeCell ref="A68:A71"/>
    <mergeCell ref="B68:B71"/>
    <mergeCell ref="C68:C71"/>
    <mergeCell ref="E68:E71"/>
    <mergeCell ref="M76:M79"/>
    <mergeCell ref="N76:N79"/>
    <mergeCell ref="A72:A75"/>
    <mergeCell ref="B72:B75"/>
    <mergeCell ref="C72:C75"/>
    <mergeCell ref="E72:E75"/>
    <mergeCell ref="A60:A63"/>
    <mergeCell ref="B60:B63"/>
    <mergeCell ref="A64:A67"/>
    <mergeCell ref="B64:B67"/>
    <mergeCell ref="C64:C67"/>
    <mergeCell ref="E64:E67"/>
    <mergeCell ref="C60:C63"/>
    <mergeCell ref="E60:E63"/>
    <mergeCell ref="M52:M55"/>
    <mergeCell ref="N52:N55"/>
    <mergeCell ref="M56:M59"/>
    <mergeCell ref="N56:N59"/>
    <mergeCell ref="M64:M67"/>
    <mergeCell ref="N64:N67"/>
    <mergeCell ref="A52:A55"/>
    <mergeCell ref="B52:B55"/>
    <mergeCell ref="C52:C55"/>
    <mergeCell ref="E52:E55"/>
    <mergeCell ref="M60:M63"/>
    <mergeCell ref="N60:N63"/>
    <mergeCell ref="A56:A59"/>
    <mergeCell ref="B56:B59"/>
    <mergeCell ref="C56:C59"/>
    <mergeCell ref="E56:E59"/>
    <mergeCell ref="C22:C25"/>
    <mergeCell ref="E22:E25"/>
    <mergeCell ref="A22:A25"/>
    <mergeCell ref="B22:B25"/>
    <mergeCell ref="A26:A29"/>
    <mergeCell ref="B26:B29"/>
    <mergeCell ref="C26:C29"/>
    <mergeCell ref="N18:N21"/>
    <mergeCell ref="M22:M25"/>
    <mergeCell ref="N22:N25"/>
    <mergeCell ref="M26:M29"/>
    <mergeCell ref="N26:N29"/>
    <mergeCell ref="E26:E29"/>
    <mergeCell ref="A9:A13"/>
    <mergeCell ref="B9:B13"/>
    <mergeCell ref="B18:B21"/>
    <mergeCell ref="C18:C21"/>
    <mergeCell ref="E18:E21"/>
    <mergeCell ref="M18:M21"/>
    <mergeCell ref="D6:D7"/>
    <mergeCell ref="E6:E7"/>
    <mergeCell ref="M9:M13"/>
    <mergeCell ref="N9:N13"/>
    <mergeCell ref="A14:A17"/>
    <mergeCell ref="B14:B17"/>
    <mergeCell ref="C14:C17"/>
    <mergeCell ref="E14:E17"/>
    <mergeCell ref="M14:M17"/>
    <mergeCell ref="N14:N17"/>
    <mergeCell ref="N6:N7"/>
    <mergeCell ref="N120:N123"/>
    <mergeCell ref="G6:G7"/>
    <mergeCell ref="H6:L6"/>
    <mergeCell ref="M6:M7"/>
    <mergeCell ref="A6:A7"/>
    <mergeCell ref="B6:B7"/>
    <mergeCell ref="C9:C13"/>
    <mergeCell ref="E9:E13"/>
    <mergeCell ref="C6:C7"/>
    <mergeCell ref="A1:N1"/>
    <mergeCell ref="A2:N2"/>
    <mergeCell ref="B3:N3"/>
    <mergeCell ref="A4:A5"/>
    <mergeCell ref="B4:N4"/>
    <mergeCell ref="B5:N5"/>
    <mergeCell ref="M307:M311"/>
    <mergeCell ref="Q303:Q307"/>
    <mergeCell ref="M337:M341"/>
    <mergeCell ref="N337:N341"/>
    <mergeCell ref="N342:N346"/>
    <mergeCell ref="M347:M351"/>
    <mergeCell ref="N347:N351"/>
    <mergeCell ref="M342:M346"/>
    <mergeCell ref="N307:N311"/>
    <mergeCell ref="N302:N306"/>
    <mergeCell ref="C287:C291"/>
    <mergeCell ref="E287:E291"/>
    <mergeCell ref="C282:C286"/>
    <mergeCell ref="E282:E286"/>
    <mergeCell ref="E230:E234"/>
    <mergeCell ref="E272:E276"/>
    <mergeCell ref="C239:C242"/>
    <mergeCell ref="E239:E242"/>
    <mergeCell ref="A120:A123"/>
    <mergeCell ref="B120:B123"/>
    <mergeCell ref="C120:C123"/>
    <mergeCell ref="E120:E123"/>
    <mergeCell ref="E226:E229"/>
    <mergeCell ref="A148:A151"/>
    <mergeCell ref="C132:C135"/>
    <mergeCell ref="E132:E135"/>
    <mergeCell ref="B184:B185"/>
    <mergeCell ref="C184:C185"/>
    <mergeCell ref="M120:M123"/>
    <mergeCell ref="E172:E176"/>
    <mergeCell ref="C148:C151"/>
    <mergeCell ref="N124:N127"/>
    <mergeCell ref="A124:A127"/>
    <mergeCell ref="B124:B127"/>
    <mergeCell ref="C124:C127"/>
    <mergeCell ref="E124:E127"/>
    <mergeCell ref="E128:E131"/>
    <mergeCell ref="B132:B135"/>
    <mergeCell ref="M230:M234"/>
    <mergeCell ref="N230:N234"/>
    <mergeCell ref="M124:M127"/>
    <mergeCell ref="M128:M131"/>
    <mergeCell ref="N128:N131"/>
    <mergeCell ref="A128:A131"/>
    <mergeCell ref="B128:B131"/>
    <mergeCell ref="C128:C131"/>
    <mergeCell ref="M226:M229"/>
    <mergeCell ref="N226:N229"/>
    <mergeCell ref="A140:A143"/>
    <mergeCell ref="B140:B143"/>
    <mergeCell ref="C140:C143"/>
    <mergeCell ref="E140:E143"/>
    <mergeCell ref="A282:A286"/>
    <mergeCell ref="B282:B286"/>
    <mergeCell ref="D184:D185"/>
    <mergeCell ref="A164:A167"/>
    <mergeCell ref="B164:B167"/>
    <mergeCell ref="C164:C167"/>
    <mergeCell ref="A302:A306"/>
    <mergeCell ref="B302:B306"/>
    <mergeCell ref="C302:C306"/>
    <mergeCell ref="A287:A291"/>
    <mergeCell ref="B287:B291"/>
    <mergeCell ref="M132:M135"/>
    <mergeCell ref="A255:A258"/>
    <mergeCell ref="B255:B258"/>
    <mergeCell ref="A136:A139"/>
    <mergeCell ref="A132:A135"/>
    <mergeCell ref="N132:N135"/>
    <mergeCell ref="C332:C336"/>
    <mergeCell ref="E332:E336"/>
    <mergeCell ref="M332:M336"/>
    <mergeCell ref="N332:N336"/>
    <mergeCell ref="M302:M306"/>
    <mergeCell ref="C255:C258"/>
    <mergeCell ref="E255:E258"/>
    <mergeCell ref="M255:M258"/>
    <mergeCell ref="N255:N258"/>
    <mergeCell ref="M372:M376"/>
    <mergeCell ref="N372:N376"/>
    <mergeCell ref="C342:C346"/>
    <mergeCell ref="M352:M356"/>
    <mergeCell ref="C347:C351"/>
    <mergeCell ref="E347:E351"/>
    <mergeCell ref="M357:M361"/>
    <mergeCell ref="C357:C361"/>
    <mergeCell ref="E357:E361"/>
    <mergeCell ref="M362:M366"/>
    <mergeCell ref="M405:M408"/>
    <mergeCell ref="N405:N408"/>
    <mergeCell ref="O561:Q561"/>
    <mergeCell ref="M312:M316"/>
    <mergeCell ref="N312:N316"/>
    <mergeCell ref="N421:N424"/>
    <mergeCell ref="N352:N356"/>
    <mergeCell ref="N357:N361"/>
    <mergeCell ref="M392:M396"/>
    <mergeCell ref="N392:N396"/>
    <mergeCell ref="N144:N147"/>
    <mergeCell ref="N140:N143"/>
    <mergeCell ref="B136:B139"/>
    <mergeCell ref="C136:C139"/>
    <mergeCell ref="E136:E139"/>
    <mergeCell ref="M136:M139"/>
    <mergeCell ref="N136:N139"/>
    <mergeCell ref="M140:M143"/>
    <mergeCell ref="C540:C543"/>
    <mergeCell ref="A144:A147"/>
    <mergeCell ref="B144:B147"/>
    <mergeCell ref="C144:C147"/>
    <mergeCell ref="E144:E147"/>
    <mergeCell ref="M144:M147"/>
    <mergeCell ref="A405:A408"/>
    <mergeCell ref="B405:B408"/>
    <mergeCell ref="C405:C408"/>
    <mergeCell ref="E405:E408"/>
  </mergeCells>
  <phoneticPr fontId="5" type="noConversion"/>
  <pageMargins left="0.15748031496062992" right="0.15748031496062992" top="0.15748031496062992" bottom="0.19685039370078741" header="0.51181102362204722" footer="0.19685039370078741"/>
  <pageSetup paperSize="9" scale="42" firstPageNumber="0" orientation="landscape" r:id="rId1"/>
  <headerFooter alignWithMargins="0"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Шуленина Е. А.</cp:lastModifiedBy>
  <cp:lastPrinted>2016-06-17T10:05:59Z</cp:lastPrinted>
  <dcterms:created xsi:type="dcterms:W3CDTF">2016-02-05T13:13:50Z</dcterms:created>
  <dcterms:modified xsi:type="dcterms:W3CDTF">2016-07-15T07:00:26Z</dcterms:modified>
</cp:coreProperties>
</file>