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hachevaaa\Desktop\Оперативный отчет по исполнению программ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3" i="1" l="1"/>
  <c r="H412" i="1" s="1"/>
  <c r="F413" i="1"/>
  <c r="F412" i="1" s="1"/>
  <c r="E413" i="1"/>
  <c r="E412" i="1" s="1"/>
  <c r="H411" i="1"/>
  <c r="H410" i="1" s="1"/>
  <c r="F411" i="1"/>
  <c r="F410" i="1" s="1"/>
  <c r="E411" i="1"/>
  <c r="E410" i="1" s="1"/>
  <c r="H409" i="1"/>
  <c r="H408" i="1" s="1"/>
  <c r="F409" i="1"/>
  <c r="E409" i="1"/>
  <c r="E408" i="1" s="1"/>
  <c r="E407" i="1" s="1"/>
  <c r="F408" i="1"/>
  <c r="H406" i="1"/>
  <c r="F406" i="1"/>
  <c r="E406" i="1"/>
  <c r="H405" i="1"/>
  <c r="F405" i="1"/>
  <c r="E405" i="1"/>
  <c r="H404" i="1"/>
  <c r="F404" i="1"/>
  <c r="E404" i="1"/>
  <c r="H403" i="1"/>
  <c r="F403" i="1"/>
  <c r="E403" i="1"/>
  <c r="H402" i="1"/>
  <c r="F402" i="1"/>
  <c r="E402" i="1"/>
  <c r="H401" i="1"/>
  <c r="F401" i="1"/>
  <c r="E401" i="1"/>
  <c r="F400" i="1"/>
  <c r="F399" i="1" s="1"/>
  <c r="H398" i="1"/>
  <c r="F398" i="1"/>
  <c r="F397" i="1" s="1"/>
  <c r="F396" i="1" s="1"/>
  <c r="E398" i="1"/>
  <c r="E397" i="1" s="1"/>
  <c r="E396" i="1" s="1"/>
  <c r="H397" i="1"/>
  <c r="H396" i="1" s="1"/>
  <c r="H395" i="1"/>
  <c r="F395" i="1"/>
  <c r="E395" i="1"/>
  <c r="H394" i="1"/>
  <c r="F394" i="1"/>
  <c r="E394" i="1"/>
  <c r="H393" i="1"/>
  <c r="F393" i="1"/>
  <c r="E393" i="1"/>
  <c r="H392" i="1"/>
  <c r="F392" i="1"/>
  <c r="E392" i="1"/>
  <c r="E391" i="1" s="1"/>
  <c r="H390" i="1"/>
  <c r="F390" i="1"/>
  <c r="E390" i="1"/>
  <c r="H389" i="1"/>
  <c r="F389" i="1"/>
  <c r="E389" i="1"/>
  <c r="H388" i="1"/>
  <c r="F388" i="1"/>
  <c r="E388" i="1"/>
  <c r="H387" i="1"/>
  <c r="F387" i="1"/>
  <c r="H386" i="1"/>
  <c r="F386" i="1"/>
  <c r="E386" i="1"/>
  <c r="H385" i="1"/>
  <c r="H382" i="1" s="1"/>
  <c r="F385" i="1"/>
  <c r="E385" i="1"/>
  <c r="H384" i="1"/>
  <c r="F384" i="1"/>
  <c r="E384" i="1"/>
  <c r="H383" i="1"/>
  <c r="F383" i="1"/>
  <c r="E383" i="1"/>
  <c r="E382" i="1" s="1"/>
  <c r="E381" i="1" l="1"/>
  <c r="F382" i="1"/>
  <c r="F381" i="1" s="1"/>
  <c r="F391" i="1"/>
  <c r="E400" i="1"/>
  <c r="E399" i="1" s="1"/>
  <c r="H391" i="1"/>
  <c r="H400" i="1"/>
  <c r="H399" i="1" s="1"/>
  <c r="H407" i="1"/>
  <c r="H381" i="1"/>
  <c r="F407" i="1"/>
  <c r="E313" i="1"/>
  <c r="H592" i="1"/>
  <c r="H591" i="1" s="1"/>
  <c r="H590" i="1"/>
  <c r="H589" i="1" s="1"/>
  <c r="H587" i="1"/>
  <c r="H586" i="1" s="1"/>
  <c r="H585" i="1"/>
  <c r="H584" i="1" s="1"/>
  <c r="H583" i="1"/>
  <c r="H582" i="1"/>
  <c r="H579" i="1"/>
  <c r="H578" i="1" s="1"/>
  <c r="H577" i="1" s="1"/>
  <c r="F592" i="1"/>
  <c r="F591" i="1" s="1"/>
  <c r="E592" i="1"/>
  <c r="E591" i="1" s="1"/>
  <c r="F590" i="1"/>
  <c r="F589" i="1" s="1"/>
  <c r="F588" i="1" s="1"/>
  <c r="E590" i="1"/>
  <c r="E589" i="1" s="1"/>
  <c r="E588" i="1" s="1"/>
  <c r="F587" i="1"/>
  <c r="F586" i="1" s="1"/>
  <c r="E587" i="1"/>
  <c r="E586" i="1" s="1"/>
  <c r="F585" i="1"/>
  <c r="F584" i="1" s="1"/>
  <c r="E585" i="1"/>
  <c r="E584" i="1" s="1"/>
  <c r="F583" i="1"/>
  <c r="E583" i="1"/>
  <c r="F582" i="1"/>
  <c r="E582" i="1"/>
  <c r="F581" i="1"/>
  <c r="F580" i="1" s="1"/>
  <c r="E581" i="1"/>
  <c r="E580" i="1" s="1"/>
  <c r="F579" i="1"/>
  <c r="F578" i="1" s="1"/>
  <c r="F577" i="1" s="1"/>
  <c r="E579" i="1"/>
  <c r="E578" i="1" s="1"/>
  <c r="E577" i="1" s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7" i="1"/>
  <c r="F537" i="1"/>
  <c r="H537" i="1"/>
  <c r="E538" i="1"/>
  <c r="F538" i="1"/>
  <c r="H538" i="1"/>
  <c r="H539" i="1"/>
  <c r="E540" i="1"/>
  <c r="F540" i="1"/>
  <c r="F539" i="1" s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H546" i="1"/>
  <c r="E547" i="1"/>
  <c r="F547" i="1"/>
  <c r="F546" i="1" s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H575" i="1"/>
  <c r="H574" i="1" s="1"/>
  <c r="F575" i="1"/>
  <c r="E575" i="1"/>
  <c r="E574" i="1" s="1"/>
  <c r="F574" i="1"/>
  <c r="H573" i="1"/>
  <c r="F573" i="1"/>
  <c r="E573" i="1"/>
  <c r="H572" i="1"/>
  <c r="F572" i="1"/>
  <c r="E572" i="1"/>
  <c r="H571" i="1"/>
  <c r="F571" i="1"/>
  <c r="E571" i="1"/>
  <c r="H568" i="1"/>
  <c r="F568" i="1"/>
  <c r="E568" i="1"/>
  <c r="H567" i="1"/>
  <c r="F567" i="1"/>
  <c r="E567" i="1"/>
  <c r="H566" i="1"/>
  <c r="F566" i="1"/>
  <c r="E566" i="1"/>
  <c r="H565" i="1"/>
  <c r="F565" i="1"/>
  <c r="E565" i="1"/>
  <c r="H564" i="1"/>
  <c r="F564" i="1"/>
  <c r="E564" i="1"/>
  <c r="H563" i="1"/>
  <c r="F563" i="1"/>
  <c r="E563" i="1"/>
  <c r="H562" i="1"/>
  <c r="F562" i="1"/>
  <c r="E562" i="1"/>
  <c r="H501" i="1"/>
  <c r="F501" i="1"/>
  <c r="E501" i="1"/>
  <c r="H500" i="1"/>
  <c r="F500" i="1"/>
  <c r="E500" i="1"/>
  <c r="H497" i="1"/>
  <c r="H496" i="1" s="1"/>
  <c r="F497" i="1"/>
  <c r="F496" i="1" s="1"/>
  <c r="E497" i="1"/>
  <c r="E496" i="1" s="1"/>
  <c r="H495" i="1"/>
  <c r="H494" i="1" s="1"/>
  <c r="F495" i="1"/>
  <c r="F494" i="1" s="1"/>
  <c r="E495" i="1"/>
  <c r="E494" i="1" s="1"/>
  <c r="H492" i="1"/>
  <c r="F492" i="1"/>
  <c r="E492" i="1"/>
  <c r="H491" i="1"/>
  <c r="F491" i="1"/>
  <c r="E491" i="1"/>
  <c r="H489" i="1"/>
  <c r="F489" i="1"/>
  <c r="E489" i="1"/>
  <c r="H488" i="1"/>
  <c r="F488" i="1"/>
  <c r="E488" i="1"/>
  <c r="H486" i="1"/>
  <c r="F486" i="1"/>
  <c r="E486" i="1"/>
  <c r="H485" i="1"/>
  <c r="F485" i="1"/>
  <c r="E485" i="1"/>
  <c r="E481" i="1"/>
  <c r="H480" i="1"/>
  <c r="F480" i="1"/>
  <c r="E480" i="1"/>
  <c r="H479" i="1"/>
  <c r="F479" i="1"/>
  <c r="E479" i="1"/>
  <c r="H478" i="1"/>
  <c r="F478" i="1"/>
  <c r="E478" i="1"/>
  <c r="H477" i="1"/>
  <c r="F477" i="1"/>
  <c r="E477" i="1"/>
  <c r="H476" i="1"/>
  <c r="F476" i="1"/>
  <c r="E476" i="1"/>
  <c r="H474" i="1"/>
  <c r="H473" i="1" s="1"/>
  <c r="F474" i="1"/>
  <c r="F473" i="1" s="1"/>
  <c r="E474" i="1"/>
  <c r="E473" i="1" s="1"/>
  <c r="H472" i="1"/>
  <c r="H471" i="1" s="1"/>
  <c r="F472" i="1"/>
  <c r="F471" i="1" s="1"/>
  <c r="E472" i="1"/>
  <c r="E471" i="1" s="1"/>
  <c r="H470" i="1"/>
  <c r="H469" i="1" s="1"/>
  <c r="F470" i="1"/>
  <c r="F469" i="1" s="1"/>
  <c r="E470" i="1"/>
  <c r="E469" i="1" s="1"/>
  <c r="H468" i="1"/>
  <c r="F468" i="1"/>
  <c r="E468" i="1"/>
  <c r="H467" i="1"/>
  <c r="F467" i="1"/>
  <c r="E467" i="1"/>
  <c r="H466" i="1"/>
  <c r="F466" i="1"/>
  <c r="E466" i="1"/>
  <c r="H464" i="1"/>
  <c r="H463" i="1" s="1"/>
  <c r="F464" i="1"/>
  <c r="F463" i="1" s="1"/>
  <c r="E464" i="1"/>
  <c r="E463" i="1" s="1"/>
  <c r="H462" i="1"/>
  <c r="F462" i="1"/>
  <c r="E462" i="1"/>
  <c r="H461" i="1"/>
  <c r="F461" i="1"/>
  <c r="E461" i="1"/>
  <c r="H460" i="1"/>
  <c r="F460" i="1"/>
  <c r="E460" i="1"/>
  <c r="H459" i="1"/>
  <c r="F459" i="1"/>
  <c r="E459" i="1"/>
  <c r="H456" i="1"/>
  <c r="F456" i="1"/>
  <c r="E456" i="1"/>
  <c r="H455" i="1"/>
  <c r="F455" i="1"/>
  <c r="E455" i="1"/>
  <c r="H453" i="1"/>
  <c r="F453" i="1"/>
  <c r="E453" i="1"/>
  <c r="H452" i="1"/>
  <c r="F452" i="1"/>
  <c r="E452" i="1"/>
  <c r="H451" i="1"/>
  <c r="F451" i="1"/>
  <c r="E451" i="1"/>
  <c r="H450" i="1"/>
  <c r="F450" i="1"/>
  <c r="E450" i="1"/>
  <c r="H449" i="1"/>
  <c r="F449" i="1"/>
  <c r="E449" i="1"/>
  <c r="H447" i="1"/>
  <c r="F447" i="1"/>
  <c r="E447" i="1"/>
  <c r="H446" i="1"/>
  <c r="F446" i="1"/>
  <c r="E446" i="1"/>
  <c r="F442" i="1"/>
  <c r="F441" i="1" s="1"/>
  <c r="F440" i="1" s="1"/>
  <c r="E442" i="1"/>
  <c r="E441" i="1" s="1"/>
  <c r="E440" i="1" s="1"/>
  <c r="F439" i="1"/>
  <c r="E439" i="1"/>
  <c r="F438" i="1"/>
  <c r="E438" i="1"/>
  <c r="F437" i="1"/>
  <c r="E437" i="1"/>
  <c r="F436" i="1"/>
  <c r="E436" i="1"/>
  <c r="F434" i="1"/>
  <c r="E434" i="1"/>
  <c r="F433" i="1"/>
  <c r="E433" i="1"/>
  <c r="F432" i="1"/>
  <c r="E432" i="1"/>
  <c r="F431" i="1"/>
  <c r="E431" i="1"/>
  <c r="F430" i="1"/>
  <c r="E430" i="1"/>
  <c r="F429" i="1"/>
  <c r="E429" i="1"/>
  <c r="F428" i="1"/>
  <c r="E428" i="1"/>
  <c r="F427" i="1"/>
  <c r="E427" i="1"/>
  <c r="F425" i="1"/>
  <c r="E425" i="1"/>
  <c r="F423" i="1"/>
  <c r="F422" i="1" s="1"/>
  <c r="E423" i="1"/>
  <c r="E422" i="1" s="1"/>
  <c r="F420" i="1"/>
  <c r="E420" i="1"/>
  <c r="F419" i="1"/>
  <c r="E419" i="1"/>
  <c r="F418" i="1"/>
  <c r="E418" i="1"/>
  <c r="F417" i="1"/>
  <c r="E417" i="1"/>
  <c r="H536" i="1" l="1"/>
  <c r="E484" i="1"/>
  <c r="H493" i="1"/>
  <c r="E499" i="1"/>
  <c r="E498" i="1" s="1"/>
  <c r="F536" i="1"/>
  <c r="F519" i="1"/>
  <c r="H588" i="1"/>
  <c r="H593" i="1" s="1"/>
  <c r="E519" i="1"/>
  <c r="H519" i="1"/>
  <c r="H454" i="1"/>
  <c r="E546" i="1"/>
  <c r="E539" i="1"/>
  <c r="H581" i="1"/>
  <c r="H580" i="1" s="1"/>
  <c r="H504" i="1"/>
  <c r="H503" i="1" s="1"/>
  <c r="E536" i="1"/>
  <c r="E504" i="1"/>
  <c r="F504" i="1"/>
  <c r="F503" i="1" s="1"/>
  <c r="H445" i="1"/>
  <c r="H490" i="1"/>
  <c r="F570" i="1"/>
  <c r="F569" i="1" s="1"/>
  <c r="E487" i="1"/>
  <c r="E493" i="1"/>
  <c r="F416" i="1"/>
  <c r="F415" i="1" s="1"/>
  <c r="F490" i="1"/>
  <c r="F487" i="1"/>
  <c r="H487" i="1"/>
  <c r="H570" i="1"/>
  <c r="H569" i="1" s="1"/>
  <c r="E561" i="1"/>
  <c r="E560" i="1" s="1"/>
  <c r="E454" i="1"/>
  <c r="E458" i="1"/>
  <c r="F475" i="1"/>
  <c r="F484" i="1"/>
  <c r="F483" i="1" s="1"/>
  <c r="H499" i="1"/>
  <c r="H498" i="1" s="1"/>
  <c r="H561" i="1"/>
  <c r="H560" i="1" s="1"/>
  <c r="E570" i="1"/>
  <c r="E569" i="1" s="1"/>
  <c r="F493" i="1"/>
  <c r="F561" i="1"/>
  <c r="F560" i="1" s="1"/>
  <c r="F454" i="1"/>
  <c r="F499" i="1"/>
  <c r="F498" i="1" s="1"/>
  <c r="E435" i="1"/>
  <c r="F448" i="1"/>
  <c r="H484" i="1"/>
  <c r="H483" i="1" s="1"/>
  <c r="E490" i="1"/>
  <c r="F445" i="1"/>
  <c r="H465" i="1"/>
  <c r="E475" i="1"/>
  <c r="E445" i="1"/>
  <c r="E426" i="1"/>
  <c r="H448" i="1"/>
  <c r="H444" i="1" s="1"/>
  <c r="E465" i="1"/>
  <c r="F465" i="1"/>
  <c r="H475" i="1"/>
  <c r="F426" i="1"/>
  <c r="E448" i="1"/>
  <c r="F458" i="1"/>
  <c r="H458" i="1"/>
  <c r="E416" i="1"/>
  <c r="E415" i="1" s="1"/>
  <c r="F435" i="1"/>
  <c r="F444" i="1" l="1"/>
  <c r="E503" i="1"/>
  <c r="E483" i="1"/>
  <c r="E457" i="1"/>
  <c r="F424" i="1"/>
  <c r="F421" i="1" s="1"/>
  <c r="E576" i="1"/>
  <c r="E424" i="1"/>
  <c r="E421" i="1" s="1"/>
  <c r="F576" i="1"/>
  <c r="E444" i="1"/>
  <c r="H576" i="1"/>
  <c r="H457" i="1"/>
  <c r="H482" i="1" s="1"/>
  <c r="F457" i="1"/>
  <c r="F482" i="1" s="1"/>
  <c r="E482" i="1" l="1"/>
  <c r="H374" i="1"/>
  <c r="H373" i="1" s="1"/>
  <c r="F374" i="1"/>
  <c r="F373" i="1" s="1"/>
  <c r="E374" i="1"/>
  <c r="E373" i="1" s="1"/>
  <c r="H372" i="1"/>
  <c r="F372" i="1"/>
  <c r="E372" i="1"/>
  <c r="H371" i="1"/>
  <c r="H370" i="1" s="1"/>
  <c r="F371" i="1"/>
  <c r="E371" i="1"/>
  <c r="H369" i="1"/>
  <c r="F369" i="1"/>
  <c r="E369" i="1"/>
  <c r="H368" i="1"/>
  <c r="F368" i="1"/>
  <c r="E368" i="1"/>
  <c r="E366" i="1"/>
  <c r="E365" i="1"/>
  <c r="E364" i="1"/>
  <c r="E363" i="1"/>
  <c r="E362" i="1"/>
  <c r="E361" i="1"/>
  <c r="H360" i="1"/>
  <c r="F360" i="1"/>
  <c r="H358" i="1"/>
  <c r="H357" i="1" s="1"/>
  <c r="H356" i="1" s="1"/>
  <c r="F358" i="1"/>
  <c r="F357" i="1" s="1"/>
  <c r="F356" i="1" s="1"/>
  <c r="E358" i="1"/>
  <c r="E357" i="1" s="1"/>
  <c r="E356" i="1" s="1"/>
  <c r="H355" i="1"/>
  <c r="H354" i="1" s="1"/>
  <c r="F355" i="1"/>
  <c r="F354" i="1" s="1"/>
  <c r="E355" i="1"/>
  <c r="E354" i="1" s="1"/>
  <c r="H353" i="1"/>
  <c r="H352" i="1" s="1"/>
  <c r="F353" i="1"/>
  <c r="F352" i="1" s="1"/>
  <c r="E353" i="1"/>
  <c r="E352" i="1" s="1"/>
  <c r="H351" i="1"/>
  <c r="F351" i="1"/>
  <c r="E351" i="1"/>
  <c r="H350" i="1"/>
  <c r="F350" i="1"/>
  <c r="E350" i="1"/>
  <c r="H349" i="1"/>
  <c r="F349" i="1"/>
  <c r="E349" i="1"/>
  <c r="H345" i="1"/>
  <c r="F345" i="1"/>
  <c r="E345" i="1"/>
  <c r="H344" i="1"/>
  <c r="F344" i="1"/>
  <c r="E344" i="1"/>
  <c r="E343" i="1" s="1"/>
  <c r="H342" i="1"/>
  <c r="H341" i="1" s="1"/>
  <c r="F342" i="1"/>
  <c r="F341" i="1" s="1"/>
  <c r="E342" i="1"/>
  <c r="E341" i="1" s="1"/>
  <c r="H340" i="1"/>
  <c r="H339" i="1" s="1"/>
  <c r="F340" i="1"/>
  <c r="F339" i="1" s="1"/>
  <c r="E340" i="1"/>
  <c r="E339" i="1" s="1"/>
  <c r="H338" i="1"/>
  <c r="F338" i="1"/>
  <c r="E338" i="1"/>
  <c r="H337" i="1"/>
  <c r="F337" i="1"/>
  <c r="E337" i="1"/>
  <c r="H336" i="1"/>
  <c r="F336" i="1"/>
  <c r="E336" i="1"/>
  <c r="H335" i="1"/>
  <c r="F335" i="1"/>
  <c r="E335" i="1"/>
  <c r="H334" i="1"/>
  <c r="F334" i="1"/>
  <c r="E334" i="1"/>
  <c r="H331" i="1"/>
  <c r="F331" i="1"/>
  <c r="E331" i="1"/>
  <c r="H330" i="1"/>
  <c r="F330" i="1"/>
  <c r="E330" i="1"/>
  <c r="H329" i="1"/>
  <c r="F329" i="1"/>
  <c r="E329" i="1"/>
  <c r="H328" i="1"/>
  <c r="F328" i="1"/>
  <c r="E328" i="1"/>
  <c r="H326" i="1"/>
  <c r="H325" i="1" s="1"/>
  <c r="F326" i="1"/>
  <c r="F325" i="1" s="1"/>
  <c r="E326" i="1"/>
  <c r="E325" i="1" s="1"/>
  <c r="H323" i="1"/>
  <c r="H322" i="1" s="1"/>
  <c r="F323" i="1"/>
  <c r="F322" i="1" s="1"/>
  <c r="E323" i="1"/>
  <c r="E322" i="1" s="1"/>
  <c r="H321" i="1"/>
  <c r="F321" i="1"/>
  <c r="E321" i="1"/>
  <c r="H320" i="1"/>
  <c r="F320" i="1"/>
  <c r="E320" i="1"/>
  <c r="H318" i="1"/>
  <c r="H317" i="1" s="1"/>
  <c r="F318" i="1"/>
  <c r="F317" i="1" s="1"/>
  <c r="E318" i="1"/>
  <c r="E317" i="1" s="1"/>
  <c r="H316" i="1"/>
  <c r="H315" i="1" s="1"/>
  <c r="F316" i="1"/>
  <c r="F315" i="1" s="1"/>
  <c r="E316" i="1"/>
  <c r="E315" i="1" s="1"/>
  <c r="H312" i="1"/>
  <c r="F312" i="1"/>
  <c r="E312" i="1"/>
  <c r="H311" i="1"/>
  <c r="F311" i="1"/>
  <c r="E311" i="1"/>
  <c r="H310" i="1"/>
  <c r="F310" i="1"/>
  <c r="E310" i="1"/>
  <c r="H309" i="1"/>
  <c r="F309" i="1"/>
  <c r="E309" i="1"/>
  <c r="H307" i="1"/>
  <c r="F307" i="1"/>
  <c r="E307" i="1"/>
  <c r="H306" i="1"/>
  <c r="F306" i="1"/>
  <c r="E306" i="1"/>
  <c r="H305" i="1"/>
  <c r="F305" i="1"/>
  <c r="E305" i="1"/>
  <c r="H304" i="1"/>
  <c r="F304" i="1"/>
  <c r="E304" i="1"/>
  <c r="H302" i="1"/>
  <c r="F302" i="1"/>
  <c r="E302" i="1"/>
  <c r="H301" i="1"/>
  <c r="F301" i="1"/>
  <c r="E301" i="1"/>
  <c r="H298" i="1"/>
  <c r="F298" i="1"/>
  <c r="E298" i="1"/>
  <c r="H297" i="1"/>
  <c r="F297" i="1"/>
  <c r="E297" i="1"/>
  <c r="H296" i="1"/>
  <c r="F296" i="1"/>
  <c r="E296" i="1"/>
  <c r="H295" i="1"/>
  <c r="F295" i="1"/>
  <c r="E295" i="1"/>
  <c r="H291" i="1"/>
  <c r="F291" i="1"/>
  <c r="E291" i="1"/>
  <c r="H290" i="1"/>
  <c r="F290" i="1"/>
  <c r="E290" i="1"/>
  <c r="H289" i="1"/>
  <c r="F289" i="1"/>
  <c r="E289" i="1"/>
  <c r="H288" i="1"/>
  <c r="F288" i="1"/>
  <c r="E288" i="1"/>
  <c r="H285" i="1"/>
  <c r="H284" i="1" s="1"/>
  <c r="F285" i="1"/>
  <c r="F284" i="1" s="1"/>
  <c r="E285" i="1"/>
  <c r="E284" i="1" s="1"/>
  <c r="H283" i="1"/>
  <c r="H282" i="1" s="1"/>
  <c r="F283" i="1"/>
  <c r="F282" i="1" s="1"/>
  <c r="E283" i="1"/>
  <c r="E282" i="1" s="1"/>
  <c r="H281" i="1"/>
  <c r="F281" i="1"/>
  <c r="E281" i="1"/>
  <c r="H280" i="1"/>
  <c r="F280" i="1"/>
  <c r="E280" i="1"/>
  <c r="H279" i="1"/>
  <c r="F279" i="1"/>
  <c r="E279" i="1"/>
  <c r="H278" i="1"/>
  <c r="F278" i="1"/>
  <c r="E278" i="1"/>
  <c r="H277" i="1"/>
  <c r="F277" i="1"/>
  <c r="E277" i="1"/>
  <c r="H276" i="1"/>
  <c r="F276" i="1"/>
  <c r="E276" i="1"/>
  <c r="H275" i="1"/>
  <c r="F275" i="1"/>
  <c r="E275" i="1"/>
  <c r="H274" i="1"/>
  <c r="F274" i="1"/>
  <c r="E274" i="1"/>
  <c r="H273" i="1"/>
  <c r="F273" i="1"/>
  <c r="E273" i="1"/>
  <c r="H272" i="1"/>
  <c r="F272" i="1"/>
  <c r="E272" i="1"/>
  <c r="H269" i="1"/>
  <c r="F269" i="1"/>
  <c r="E269" i="1"/>
  <c r="H268" i="1"/>
  <c r="F268" i="1"/>
  <c r="E268" i="1"/>
  <c r="H267" i="1"/>
  <c r="F267" i="1"/>
  <c r="E267" i="1"/>
  <c r="H265" i="1"/>
  <c r="F265" i="1"/>
  <c r="E265" i="1"/>
  <c r="H264" i="1"/>
  <c r="F264" i="1"/>
  <c r="E264" i="1"/>
  <c r="H263" i="1"/>
  <c r="F263" i="1"/>
  <c r="E263" i="1"/>
  <c r="H262" i="1"/>
  <c r="F262" i="1"/>
  <c r="E262" i="1"/>
  <c r="H261" i="1"/>
  <c r="F261" i="1"/>
  <c r="E261" i="1"/>
  <c r="H257" i="1"/>
  <c r="H256" i="1" s="1"/>
  <c r="H255" i="1" s="1"/>
  <c r="F257" i="1"/>
  <c r="F256" i="1" s="1"/>
  <c r="F255" i="1" s="1"/>
  <c r="E257" i="1"/>
  <c r="E256" i="1" s="1"/>
  <c r="E255" i="1" s="1"/>
  <c r="H254" i="1"/>
  <c r="F254" i="1"/>
  <c r="E254" i="1"/>
  <c r="H253" i="1"/>
  <c r="F253" i="1"/>
  <c r="E253" i="1"/>
  <c r="H249" i="1"/>
  <c r="H248" i="1" s="1"/>
  <c r="H247" i="1" s="1"/>
  <c r="F249" i="1"/>
  <c r="F248" i="1" s="1"/>
  <c r="F247" i="1" s="1"/>
  <c r="E249" i="1"/>
  <c r="E248" i="1" s="1"/>
  <c r="E247" i="1" s="1"/>
  <c r="H246" i="1"/>
  <c r="H245" i="1" s="1"/>
  <c r="F246" i="1"/>
  <c r="F245" i="1" s="1"/>
  <c r="E246" i="1"/>
  <c r="E245" i="1" s="1"/>
  <c r="H244" i="1"/>
  <c r="H243" i="1" s="1"/>
  <c r="F244" i="1"/>
  <c r="F243" i="1" s="1"/>
  <c r="E244" i="1"/>
  <c r="E243" i="1" s="1"/>
  <c r="H242" i="1"/>
  <c r="F242" i="1"/>
  <c r="E242" i="1"/>
  <c r="H241" i="1"/>
  <c r="F241" i="1"/>
  <c r="E241" i="1"/>
  <c r="H240" i="1"/>
  <c r="F240" i="1"/>
  <c r="E240" i="1"/>
  <c r="H236" i="1"/>
  <c r="F236" i="1"/>
  <c r="E236" i="1"/>
  <c r="H235" i="1"/>
  <c r="F235" i="1"/>
  <c r="E235" i="1"/>
  <c r="H234" i="1"/>
  <c r="F234" i="1"/>
  <c r="E234" i="1"/>
  <c r="H231" i="1"/>
  <c r="F231" i="1"/>
  <c r="E231" i="1"/>
  <c r="H230" i="1"/>
  <c r="F230" i="1"/>
  <c r="E230" i="1"/>
  <c r="H229" i="1"/>
  <c r="F229" i="1"/>
  <c r="E229" i="1"/>
  <c r="H227" i="1"/>
  <c r="H226" i="1" s="1"/>
  <c r="F227" i="1"/>
  <c r="F226" i="1" s="1"/>
  <c r="E227" i="1"/>
  <c r="E226" i="1" s="1"/>
  <c r="H216" i="1"/>
  <c r="H215" i="1" s="1"/>
  <c r="F216" i="1"/>
  <c r="F215" i="1" s="1"/>
  <c r="E216" i="1"/>
  <c r="E215" i="1" s="1"/>
  <c r="H213" i="1"/>
  <c r="H212" i="1" s="1"/>
  <c r="F213" i="1"/>
  <c r="F212" i="1" s="1"/>
  <c r="E213" i="1"/>
  <c r="E212" i="1" s="1"/>
  <c r="H211" i="1"/>
  <c r="H210" i="1" s="1"/>
  <c r="F211" i="1"/>
  <c r="F210" i="1" s="1"/>
  <c r="E211" i="1"/>
  <c r="E210" i="1" s="1"/>
  <c r="H209" i="1"/>
  <c r="F209" i="1"/>
  <c r="E209" i="1"/>
  <c r="H208" i="1"/>
  <c r="F208" i="1"/>
  <c r="E208" i="1"/>
  <c r="H206" i="1"/>
  <c r="F206" i="1"/>
  <c r="E206" i="1"/>
  <c r="H205" i="1"/>
  <c r="F205" i="1"/>
  <c r="E205" i="1"/>
  <c r="H204" i="1"/>
  <c r="F204" i="1"/>
  <c r="E204" i="1"/>
  <c r="H203" i="1"/>
  <c r="F203" i="1"/>
  <c r="E203" i="1"/>
  <c r="H202" i="1"/>
  <c r="F202" i="1"/>
  <c r="E202" i="1"/>
  <c r="H201" i="1"/>
  <c r="F201" i="1"/>
  <c r="E201" i="1"/>
  <c r="H200" i="1"/>
  <c r="F200" i="1"/>
  <c r="E200" i="1"/>
  <c r="H199" i="1"/>
  <c r="F199" i="1"/>
  <c r="E199" i="1"/>
  <c r="H198" i="1"/>
  <c r="F198" i="1"/>
  <c r="E198" i="1"/>
  <c r="H197" i="1"/>
  <c r="F197" i="1"/>
  <c r="E197" i="1"/>
  <c r="H194" i="1"/>
  <c r="H193" i="1" s="1"/>
  <c r="F194" i="1"/>
  <c r="F193" i="1" s="1"/>
  <c r="E194" i="1"/>
  <c r="E193" i="1" s="1"/>
  <c r="H192" i="1"/>
  <c r="F192" i="1"/>
  <c r="E192" i="1"/>
  <c r="H191" i="1"/>
  <c r="F191" i="1"/>
  <c r="E191" i="1"/>
  <c r="H189" i="1"/>
  <c r="F189" i="1"/>
  <c r="E189" i="1"/>
  <c r="H188" i="1"/>
  <c r="F188" i="1"/>
  <c r="E188" i="1"/>
  <c r="H186" i="1"/>
  <c r="F186" i="1"/>
  <c r="E186" i="1"/>
  <c r="H185" i="1"/>
  <c r="F185" i="1"/>
  <c r="E185" i="1"/>
  <c r="H184" i="1"/>
  <c r="F184" i="1"/>
  <c r="E184" i="1"/>
  <c r="H183" i="1"/>
  <c r="F183" i="1"/>
  <c r="E183" i="1"/>
  <c r="H181" i="1"/>
  <c r="F181" i="1"/>
  <c r="E181" i="1"/>
  <c r="H180" i="1"/>
  <c r="F180" i="1"/>
  <c r="E180" i="1"/>
  <c r="H179" i="1"/>
  <c r="F179" i="1"/>
  <c r="E179" i="1"/>
  <c r="H177" i="1"/>
  <c r="F177" i="1"/>
  <c r="E177" i="1"/>
  <c r="H176" i="1"/>
  <c r="F176" i="1"/>
  <c r="E176" i="1"/>
  <c r="H175" i="1"/>
  <c r="F175" i="1"/>
  <c r="E175" i="1"/>
  <c r="H171" i="1"/>
  <c r="H170" i="1" s="1"/>
  <c r="F171" i="1"/>
  <c r="F170" i="1" s="1"/>
  <c r="E171" i="1"/>
  <c r="E170" i="1" s="1"/>
  <c r="H169" i="1"/>
  <c r="F169" i="1"/>
  <c r="E169" i="1"/>
  <c r="H168" i="1"/>
  <c r="F168" i="1"/>
  <c r="E168" i="1"/>
  <c r="H164" i="1"/>
  <c r="H163" i="1" s="1"/>
  <c r="H162" i="1" s="1"/>
  <c r="F164" i="1"/>
  <c r="F163" i="1" s="1"/>
  <c r="F162" i="1" s="1"/>
  <c r="E164" i="1"/>
  <c r="E163" i="1" s="1"/>
  <c r="E162" i="1" s="1"/>
  <c r="F343" i="1" l="1"/>
  <c r="H207" i="1"/>
  <c r="F187" i="1"/>
  <c r="E190" i="1"/>
  <c r="F207" i="1"/>
  <c r="F228" i="1"/>
  <c r="F252" i="1"/>
  <c r="F251" i="1" s="1"/>
  <c r="F250" i="1" s="1"/>
  <c r="H367" i="1"/>
  <c r="H359" i="1" s="1"/>
  <c r="E239" i="1"/>
  <c r="E238" i="1" s="1"/>
  <c r="E178" i="1"/>
  <c r="F174" i="1"/>
  <c r="E182" i="1"/>
  <c r="H196" i="1"/>
  <c r="E207" i="1"/>
  <c r="F266" i="1"/>
  <c r="E348" i="1"/>
  <c r="E347" i="1" s="1"/>
  <c r="E370" i="1"/>
  <c r="E174" i="1"/>
  <c r="E360" i="1"/>
  <c r="F370" i="1"/>
  <c r="H287" i="1"/>
  <c r="H286" i="1" s="1"/>
  <c r="E303" i="1"/>
  <c r="F367" i="1"/>
  <c r="F167" i="1"/>
  <c r="F166" i="1" s="1"/>
  <c r="F190" i="1"/>
  <c r="H327" i="1"/>
  <c r="H333" i="1"/>
  <c r="H343" i="1"/>
  <c r="E167" i="1"/>
  <c r="E166" i="1" s="1"/>
  <c r="F308" i="1"/>
  <c r="F182" i="1"/>
  <c r="E228" i="1"/>
  <c r="H233" i="1"/>
  <c r="H232" i="1" s="1"/>
  <c r="H271" i="1"/>
  <c r="H270" i="1" s="1"/>
  <c r="H294" i="1"/>
  <c r="H308" i="1"/>
  <c r="H319" i="1"/>
  <c r="H314" i="1" s="1"/>
  <c r="E367" i="1"/>
  <c r="H182" i="1"/>
  <c r="H190" i="1"/>
  <c r="H252" i="1"/>
  <c r="H251" i="1" s="1"/>
  <c r="H250" i="1" s="1"/>
  <c r="E260" i="1"/>
  <c r="H167" i="1"/>
  <c r="H166" i="1" s="1"/>
  <c r="F178" i="1"/>
  <c r="H187" i="1"/>
  <c r="E196" i="1"/>
  <c r="E195" i="1" s="1"/>
  <c r="F196" i="1"/>
  <c r="F225" i="1"/>
  <c r="F239" i="1"/>
  <c r="F238" i="1" s="1"/>
  <c r="F260" i="1"/>
  <c r="F271" i="1"/>
  <c r="F270" i="1" s="1"/>
  <c r="E327" i="1"/>
  <c r="E324" i="1" s="1"/>
  <c r="F327" i="1"/>
  <c r="F324" i="1" s="1"/>
  <c r="E333" i="1"/>
  <c r="E332" i="1" s="1"/>
  <c r="F333" i="1"/>
  <c r="F332" i="1" s="1"/>
  <c r="F348" i="1"/>
  <c r="H348" i="1"/>
  <c r="H347" i="1" s="1"/>
  <c r="H174" i="1"/>
  <c r="H260" i="1"/>
  <c r="H178" i="1"/>
  <c r="E187" i="1"/>
  <c r="H228" i="1"/>
  <c r="H225" i="1" s="1"/>
  <c r="E233" i="1"/>
  <c r="E232" i="1" s="1"/>
  <c r="F233" i="1"/>
  <c r="F232" i="1" s="1"/>
  <c r="H239" i="1"/>
  <c r="H238" i="1" s="1"/>
  <c r="E252" i="1"/>
  <c r="E251" i="1" s="1"/>
  <c r="E250" i="1" s="1"/>
  <c r="H266" i="1"/>
  <c r="E266" i="1"/>
  <c r="E271" i="1"/>
  <c r="E270" i="1" s="1"/>
  <c r="E287" i="1"/>
  <c r="E286" i="1" s="1"/>
  <c r="F287" i="1"/>
  <c r="F286" i="1" s="1"/>
  <c r="E294" i="1"/>
  <c r="F294" i="1"/>
  <c r="E300" i="1"/>
  <c r="E299" i="1" s="1"/>
  <c r="F303" i="1"/>
  <c r="F300" i="1" s="1"/>
  <c r="F299" i="1" s="1"/>
  <c r="H303" i="1"/>
  <c r="H300" i="1" s="1"/>
  <c r="H299" i="1" s="1"/>
  <c r="E308" i="1"/>
  <c r="E319" i="1"/>
  <c r="E314" i="1" s="1"/>
  <c r="F319" i="1"/>
  <c r="F314" i="1" s="1"/>
  <c r="F347" i="1"/>
  <c r="H324" i="1"/>
  <c r="H195" i="1"/>
  <c r="E225" i="1"/>
  <c r="F195" i="1"/>
  <c r="F359" i="1" l="1"/>
  <c r="E173" i="1"/>
  <c r="F259" i="1"/>
  <c r="E259" i="1"/>
  <c r="H293" i="1"/>
  <c r="H346" i="1" s="1"/>
  <c r="E293" i="1"/>
  <c r="E346" i="1" s="1"/>
  <c r="H173" i="1"/>
  <c r="F173" i="1"/>
  <c r="E359" i="1"/>
  <c r="H259" i="1"/>
  <c r="H332" i="1"/>
  <c r="F293" i="1"/>
  <c r="F346" i="1" s="1"/>
  <c r="E150" i="1" l="1"/>
  <c r="F150" i="1"/>
  <c r="H150" i="1"/>
  <c r="H160" i="1"/>
  <c r="H159" i="1" s="1"/>
  <c r="H158" i="1" s="1"/>
  <c r="F160" i="1"/>
  <c r="F159" i="1" s="1"/>
  <c r="F158" i="1" s="1"/>
  <c r="E160" i="1"/>
  <c r="E159" i="1" s="1"/>
  <c r="E158" i="1" s="1"/>
  <c r="H157" i="1"/>
  <c r="H156" i="1" s="1"/>
  <c r="F157" i="1"/>
  <c r="F156" i="1" s="1"/>
  <c r="E157" i="1"/>
  <c r="E156" i="1" s="1"/>
  <c r="H155" i="1"/>
  <c r="H154" i="1" s="1"/>
  <c r="F155" i="1"/>
  <c r="F154" i="1" s="1"/>
  <c r="E155" i="1"/>
  <c r="E154" i="1" s="1"/>
  <c r="H152" i="1"/>
  <c r="F152" i="1"/>
  <c r="E152" i="1"/>
  <c r="H151" i="1"/>
  <c r="F151" i="1"/>
  <c r="E151" i="1"/>
  <c r="F140" i="1"/>
  <c r="F139" i="1"/>
  <c r="E140" i="1"/>
  <c r="E139" i="1"/>
  <c r="E135" i="1"/>
  <c r="E130" i="1"/>
  <c r="H146" i="1"/>
  <c r="F146" i="1"/>
  <c r="E146" i="1"/>
  <c r="H145" i="1"/>
  <c r="F145" i="1"/>
  <c r="E145" i="1"/>
  <c r="H143" i="1"/>
  <c r="H142" i="1" s="1"/>
  <c r="F143" i="1"/>
  <c r="F142" i="1" s="1"/>
  <c r="E143" i="1"/>
  <c r="E142" i="1" s="1"/>
  <c r="H138" i="1"/>
  <c r="H137" i="1" s="1"/>
  <c r="H136" i="1" s="1"/>
  <c r="H135" i="1"/>
  <c r="F135" i="1"/>
  <c r="H134" i="1"/>
  <c r="F134" i="1"/>
  <c r="E134" i="1"/>
  <c r="H133" i="1"/>
  <c r="F133" i="1"/>
  <c r="E133" i="1"/>
  <c r="H132" i="1"/>
  <c r="F132" i="1"/>
  <c r="E132" i="1"/>
  <c r="H131" i="1"/>
  <c r="F131" i="1"/>
  <c r="E131" i="1"/>
  <c r="H130" i="1"/>
  <c r="F130" i="1"/>
  <c r="H129" i="1"/>
  <c r="F129" i="1"/>
  <c r="E129" i="1"/>
  <c r="H128" i="1"/>
  <c r="F128" i="1"/>
  <c r="E128" i="1"/>
  <c r="H124" i="1"/>
  <c r="F124" i="1"/>
  <c r="E124" i="1"/>
  <c r="H123" i="1"/>
  <c r="F123" i="1"/>
  <c r="E123" i="1"/>
  <c r="H120" i="1"/>
  <c r="H119" i="1" s="1"/>
  <c r="F120" i="1"/>
  <c r="F119" i="1" s="1"/>
  <c r="E120" i="1"/>
  <c r="E119" i="1" s="1"/>
  <c r="H118" i="1"/>
  <c r="H117" i="1" s="1"/>
  <c r="F118" i="1"/>
  <c r="F117" i="1" s="1"/>
  <c r="E118" i="1"/>
  <c r="E117" i="1" s="1"/>
  <c r="H116" i="1"/>
  <c r="F116" i="1"/>
  <c r="E116" i="1"/>
  <c r="H115" i="1"/>
  <c r="F115" i="1"/>
  <c r="E115" i="1"/>
  <c r="H114" i="1"/>
  <c r="F114" i="1"/>
  <c r="E114" i="1"/>
  <c r="H111" i="1"/>
  <c r="H110" i="1" s="1"/>
  <c r="F111" i="1"/>
  <c r="F110" i="1" s="1"/>
  <c r="E111" i="1"/>
  <c r="E110" i="1" s="1"/>
  <c r="H109" i="1"/>
  <c r="F109" i="1"/>
  <c r="E109" i="1"/>
  <c r="H108" i="1"/>
  <c r="F108" i="1"/>
  <c r="E108" i="1"/>
  <c r="E113" i="1" l="1"/>
  <c r="E112" i="1" s="1"/>
  <c r="E106" i="1" s="1"/>
  <c r="F107" i="1"/>
  <c r="H149" i="1"/>
  <c r="H148" i="1" s="1"/>
  <c r="F122" i="1"/>
  <c r="F121" i="1" s="1"/>
  <c r="F144" i="1"/>
  <c r="F141" i="1" s="1"/>
  <c r="E107" i="1"/>
  <c r="F149" i="1"/>
  <c r="F148" i="1" s="1"/>
  <c r="H107" i="1"/>
  <c r="E144" i="1"/>
  <c r="E141" i="1" s="1"/>
  <c r="H127" i="1"/>
  <c r="H126" i="1" s="1"/>
  <c r="H125" i="1" s="1"/>
  <c r="E122" i="1"/>
  <c r="E121" i="1" s="1"/>
  <c r="F127" i="1"/>
  <c r="F126" i="1" s="1"/>
  <c r="F125" i="1" s="1"/>
  <c r="F113" i="1"/>
  <c r="F112" i="1" s="1"/>
  <c r="F106" i="1" s="1"/>
  <c r="H113" i="1"/>
  <c r="H112" i="1" s="1"/>
  <c r="H144" i="1"/>
  <c r="H141" i="1" s="1"/>
  <c r="H122" i="1"/>
  <c r="H121" i="1" s="1"/>
  <c r="F138" i="1"/>
  <c r="F137" i="1" s="1"/>
  <c r="F136" i="1" s="1"/>
  <c r="E153" i="1"/>
  <c r="E149" i="1"/>
  <c r="E148" i="1" s="1"/>
  <c r="H153" i="1"/>
  <c r="F153" i="1"/>
  <c r="E138" i="1"/>
  <c r="E137" i="1" s="1"/>
  <c r="E136" i="1" s="1"/>
  <c r="E127" i="1"/>
  <c r="E126" i="1" s="1"/>
  <c r="E125" i="1" s="1"/>
  <c r="H106" i="1" l="1"/>
  <c r="H104" i="1"/>
  <c r="F104" i="1"/>
  <c r="E104" i="1"/>
  <c r="H103" i="1"/>
  <c r="F103" i="1"/>
  <c r="E103" i="1"/>
  <c r="H102" i="1"/>
  <c r="F102" i="1"/>
  <c r="E102" i="1"/>
  <c r="H99" i="1"/>
  <c r="H98" i="1" s="1"/>
  <c r="H97" i="1" s="1"/>
  <c r="F99" i="1"/>
  <c r="F98" i="1" s="1"/>
  <c r="F97" i="1" s="1"/>
  <c r="E99" i="1"/>
  <c r="E98" i="1" s="1"/>
  <c r="E97" i="1" s="1"/>
  <c r="H96" i="1"/>
  <c r="F96" i="1"/>
  <c r="E96" i="1"/>
  <c r="H95" i="1"/>
  <c r="F95" i="1"/>
  <c r="E95" i="1"/>
  <c r="H94" i="1"/>
  <c r="F94" i="1"/>
  <c r="E94" i="1"/>
  <c r="H93" i="1"/>
  <c r="F93" i="1"/>
  <c r="E93" i="1"/>
  <c r="H92" i="1"/>
  <c r="F92" i="1"/>
  <c r="E92" i="1"/>
  <c r="H91" i="1"/>
  <c r="F91" i="1"/>
  <c r="E91" i="1"/>
  <c r="H90" i="1"/>
  <c r="F90" i="1"/>
  <c r="E90" i="1"/>
  <c r="E88" i="1"/>
  <c r="H87" i="1"/>
  <c r="F87" i="1"/>
  <c r="E87" i="1"/>
  <c r="H86" i="1"/>
  <c r="F86" i="1"/>
  <c r="E86" i="1"/>
  <c r="H85" i="1"/>
  <c r="F85" i="1"/>
  <c r="E85" i="1"/>
  <c r="H84" i="1"/>
  <c r="F84" i="1"/>
  <c r="E84" i="1"/>
  <c r="H83" i="1"/>
  <c r="F83" i="1"/>
  <c r="E83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5" i="1"/>
  <c r="F75" i="1"/>
  <c r="E75" i="1"/>
  <c r="H74" i="1"/>
  <c r="F74" i="1"/>
  <c r="E74" i="1"/>
  <c r="H73" i="1"/>
  <c r="F73" i="1"/>
  <c r="E73" i="1"/>
  <c r="H71" i="1"/>
  <c r="F71" i="1"/>
  <c r="E71" i="1"/>
  <c r="H70" i="1"/>
  <c r="F70" i="1"/>
  <c r="E70" i="1"/>
  <c r="H69" i="1"/>
  <c r="F69" i="1"/>
  <c r="E69" i="1"/>
  <c r="H68" i="1"/>
  <c r="F68" i="1"/>
  <c r="E68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60" i="1"/>
  <c r="F60" i="1"/>
  <c r="E60" i="1"/>
  <c r="H57" i="1"/>
  <c r="F57" i="1"/>
  <c r="E57" i="1"/>
  <c r="H56" i="1"/>
  <c r="F56" i="1"/>
  <c r="E56" i="1"/>
  <c r="H55" i="1"/>
  <c r="F55" i="1"/>
  <c r="E55" i="1"/>
  <c r="H54" i="1"/>
  <c r="F54" i="1"/>
  <c r="E54" i="1"/>
  <c r="H53" i="1"/>
  <c r="F53" i="1"/>
  <c r="E53" i="1"/>
  <c r="H52" i="1"/>
  <c r="F52" i="1"/>
  <c r="E52" i="1"/>
  <c r="H51" i="1"/>
  <c r="F51" i="1"/>
  <c r="E51" i="1"/>
  <c r="H50" i="1"/>
  <c r="F50" i="1"/>
  <c r="E50" i="1"/>
  <c r="H48" i="1"/>
  <c r="H46" i="1" s="1"/>
  <c r="F48" i="1"/>
  <c r="E48" i="1"/>
  <c r="H47" i="1"/>
  <c r="F47" i="1"/>
  <c r="E47" i="1"/>
  <c r="H45" i="1"/>
  <c r="F45" i="1"/>
  <c r="E45" i="1"/>
  <c r="H44" i="1"/>
  <c r="F44" i="1"/>
  <c r="E44" i="1"/>
  <c r="H43" i="1"/>
  <c r="F43" i="1"/>
  <c r="E43" i="1"/>
  <c r="H42" i="1"/>
  <c r="F42" i="1"/>
  <c r="E42" i="1"/>
  <c r="H38" i="1"/>
  <c r="H37" i="1" s="1"/>
  <c r="F38" i="1"/>
  <c r="F37" i="1" s="1"/>
  <c r="E38" i="1"/>
  <c r="E37" i="1" s="1"/>
  <c r="H36" i="1"/>
  <c r="H35" i="1" s="1"/>
  <c r="H34" i="1" s="1"/>
  <c r="F36" i="1"/>
  <c r="F35" i="1" s="1"/>
  <c r="F34" i="1" s="1"/>
  <c r="E36" i="1"/>
  <c r="E35" i="1" s="1"/>
  <c r="E34" i="1" s="1"/>
  <c r="H33" i="1"/>
  <c r="H32" i="1" s="1"/>
  <c r="H31" i="1" s="1"/>
  <c r="F33" i="1"/>
  <c r="F32" i="1" s="1"/>
  <c r="F31" i="1" s="1"/>
  <c r="E33" i="1"/>
  <c r="E32" i="1" s="1"/>
  <c r="E31" i="1" s="1"/>
  <c r="H30" i="1"/>
  <c r="F30" i="1"/>
  <c r="E30" i="1"/>
  <c r="H29" i="1"/>
  <c r="F29" i="1"/>
  <c r="E29" i="1"/>
  <c r="H28" i="1"/>
  <c r="F28" i="1"/>
  <c r="E28" i="1"/>
  <c r="F25" i="1"/>
  <c r="E25" i="1"/>
  <c r="F24" i="1"/>
  <c r="E24" i="1"/>
  <c r="F23" i="1"/>
  <c r="E23" i="1"/>
  <c r="F22" i="1"/>
  <c r="E22" i="1"/>
  <c r="H21" i="1"/>
  <c r="H20" i="1" s="1"/>
  <c r="E21" i="1"/>
  <c r="E20" i="1" s="1"/>
  <c r="H19" i="1"/>
  <c r="F19" i="1"/>
  <c r="E19" i="1"/>
  <c r="H18" i="1"/>
  <c r="F18" i="1"/>
  <c r="E18" i="1"/>
  <c r="F14" i="1"/>
  <c r="E14" i="1"/>
  <c r="F13" i="1"/>
  <c r="E13" i="1"/>
  <c r="H12" i="1"/>
  <c r="H11" i="1" s="1"/>
  <c r="F10" i="1"/>
  <c r="F9" i="1" s="1"/>
  <c r="F8" i="1" s="1"/>
  <c r="E10" i="1"/>
  <c r="E9" i="1" s="1"/>
  <c r="E8" i="1" s="1"/>
  <c r="H9" i="1"/>
  <c r="H8" i="1" s="1"/>
  <c r="F101" i="1" l="1"/>
  <c r="F100" i="1" s="1"/>
  <c r="E17" i="1"/>
  <c r="E16" i="1" s="1"/>
  <c r="E46" i="1"/>
  <c r="H82" i="1"/>
  <c r="F17" i="1"/>
  <c r="F16" i="1" s="1"/>
  <c r="F41" i="1"/>
  <c r="E72" i="1"/>
  <c r="H27" i="1"/>
  <c r="H26" i="1" s="1"/>
  <c r="F46" i="1"/>
  <c r="H41" i="1"/>
  <c r="E41" i="1"/>
  <c r="E27" i="1"/>
  <c r="E26" i="1" s="1"/>
  <c r="F49" i="1"/>
  <c r="H17" i="1"/>
  <c r="H16" i="1" s="1"/>
  <c r="F27" i="1"/>
  <c r="F26" i="1" s="1"/>
  <c r="H49" i="1"/>
  <c r="H40" i="1" s="1"/>
  <c r="E49" i="1"/>
  <c r="F72" i="1"/>
  <c r="E82" i="1"/>
  <c r="F82" i="1"/>
  <c r="F81" i="1" s="1"/>
  <c r="E89" i="1"/>
  <c r="H72" i="1"/>
  <c r="F89" i="1"/>
  <c r="H89" i="1"/>
  <c r="E101" i="1"/>
  <c r="E100" i="1" s="1"/>
  <c r="F21" i="1"/>
  <c r="F20" i="1" s="1"/>
  <c r="E12" i="1"/>
  <c r="E11" i="1" s="1"/>
  <c r="F12" i="1"/>
  <c r="F11" i="1" s="1"/>
  <c r="F15" i="1" s="1"/>
  <c r="E59" i="1"/>
  <c r="F59" i="1"/>
  <c r="H59" i="1"/>
  <c r="H101" i="1"/>
  <c r="H100" i="1" s="1"/>
  <c r="H81" i="1" l="1"/>
  <c r="H58" i="1"/>
  <c r="E58" i="1"/>
  <c r="F40" i="1"/>
  <c r="F58" i="1"/>
  <c r="E40" i="1"/>
  <c r="E81" i="1"/>
  <c r="E380" i="1"/>
  <c r="E292" i="1"/>
  <c r="F292" i="1"/>
  <c r="F258" i="1"/>
  <c r="E258" i="1"/>
  <c r="H172" i="1"/>
  <c r="F172" i="1"/>
  <c r="E172" i="1"/>
  <c r="H165" i="1"/>
  <c r="F165" i="1"/>
  <c r="E165" i="1"/>
  <c r="F161" i="1"/>
  <c r="E39" i="1"/>
  <c r="H39" i="1"/>
  <c r="E15" i="1"/>
  <c r="H15" i="1"/>
  <c r="F593" i="1" l="1"/>
  <c r="H105" i="1"/>
  <c r="F147" i="1"/>
  <c r="H147" i="1"/>
  <c r="H161" i="1"/>
  <c r="E161" i="1"/>
  <c r="F39" i="1"/>
  <c r="E105" i="1"/>
  <c r="E237" i="1"/>
  <c r="F237" i="1"/>
  <c r="H237" i="1"/>
  <c r="H258" i="1"/>
  <c r="F105" i="1"/>
  <c r="E147" i="1"/>
  <c r="E502" i="1"/>
  <c r="E593" i="1"/>
  <c r="F380" i="1"/>
  <c r="H380" i="1"/>
  <c r="E443" i="1"/>
  <c r="H443" i="1"/>
  <c r="H292" i="1"/>
  <c r="F443" i="1"/>
  <c r="H414" i="1" l="1"/>
  <c r="E414" i="1"/>
  <c r="F502" i="1"/>
  <c r="F414" i="1"/>
  <c r="H502" i="1"/>
</calcChain>
</file>

<file path=xl/sharedStrings.xml><?xml version="1.0" encoding="utf-8"?>
<sst xmlns="http://schemas.openxmlformats.org/spreadsheetml/2006/main" count="1769" uniqueCount="932">
  <si>
    <t>ОПЕРАТИВНЫЙ ОТЧЕТ О ВЫПОЛНЕНИИ</t>
  </si>
  <si>
    <t>МУНИЦИПАЛЬНЫХ ПРОГРАММ ГОРОДСКОГО ОКРУГА РЕУТОВ</t>
  </si>
  <si>
    <t>№ п/п</t>
  </si>
  <si>
    <t>Наименование муниципальной программы</t>
  </si>
  <si>
    <t xml:space="preserve">Порядковые № разделов и мероприятий, предусмотренных муниципальной программой
</t>
  </si>
  <si>
    <t>Наименования подпрограммы, мероприятия</t>
  </si>
  <si>
    <t>Объем финансирования на 2020 год (тыс. руб.)</t>
  </si>
  <si>
    <t>Выполнено (тыс. руб.)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</si>
  <si>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</si>
  <si>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</si>
  <si>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</si>
  <si>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</si>
  <si>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</si>
  <si>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</si>
  <si>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</si>
  <si>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</si>
  <si>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</si>
  <si>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</si>
  <si>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</si>
  <si>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</si>
  <si>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</si>
  <si>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</si>
  <si>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</si>
  <si>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</si>
  <si>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</si>
  <si>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Развитие музейного дела и народных художественных промыслов</t>
  </si>
  <si>
    <t>Основное мероприятие 1.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</si>
  <si>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</si>
  <si>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</si>
  <si>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Укрепление материально-технической базы и проведение текущего ремонта учреждений музеев, галерей</t>
  </si>
  <si>
    <t>Подпрограмма 3</t>
  </si>
  <si>
    <t>Развитие библиотечного дела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</si>
  <si>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</si>
  <si>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</si>
  <si>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Укрепление материально-технической базы и проведение текущего ремонта библиотек</t>
  </si>
  <si>
    <t>Комплектование книжных фондов библиотек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</si>
  <si>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</si>
  <si>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Подпрограмма 4</t>
  </si>
  <si>
    <t>Развитие профессионального искусства, гастрольно-концертной и культурно-досуговой деятельности, кинематографии</t>
  </si>
  <si>
    <t>Основное мероприятие 5.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</si>
  <si>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</si>
  <si>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</si>
  <si>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Укрепление материально-технической базы и проведение текущего ремонта культурно-досуговых учреждений</t>
  </si>
  <si>
    <t>Мероприятия в сфере культуры</t>
  </si>
  <si>
    <t>Подпрограмма 7</t>
  </si>
  <si>
    <t>Развитие архивного дела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</si>
  <si>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</si>
  <si>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</si>
  <si>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</si>
  <si>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</si>
  <si>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</si>
  <si>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</si>
  <si>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</si>
  <si>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</si>
  <si>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>Развитие парков культуры и отдыха</t>
  </si>
  <si>
    <t>Соответствие нормативу обеспеченности парками культуры и отдыха</t>
  </si>
  <si>
    <t xml:space="preserve">Образование </t>
  </si>
  <si>
    <t>Дошкольное образование</t>
  </si>
  <si>
    <t>Проведение капитального ремонта объектов дошкольного образования</t>
  </si>
  <si>
    <t>Выполнено на 0%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</si>
  <si>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</si>
  <si>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</si>
  <si>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Проведение капитального ремонта и (или) оснащение оборудованием муниципальных дошкольных образовательных организаций в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</si>
  <si>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</si>
  <si>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Финансовое обеспечение реализации прав граждан на получение общедоступного и бесплатного дошкольного образования</t>
  </si>
  <si>
    <t>Проведение капитального ремонта, технического переоснащения и благоустройства территорий учреждений образования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</si>
  <si>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</si>
  <si>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</si>
  <si>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</si>
  <si>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</si>
  <si>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</si>
  <si>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</si>
  <si>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Мероприятия в сфере образования</t>
  </si>
  <si>
    <t>Содействие занятости женщин - создание условий дошкольного образования для детей в возрасте до трех лет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</si>
  <si>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</si>
  <si>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Создание дополнительных мест (групп)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</si>
  <si>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Общее образование</t>
  </si>
  <si>
    <t>Выполнено на 44,2%</t>
  </si>
  <si>
    <t>Финансовое обеспечение деятельности образовательных организаций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</si>
  <si>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</si>
  <si>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</si>
  <si>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Расходы на обеспечение деятельности (оказание услуг) муниципальных учреждений - общеобразовательные организации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</si>
  <si>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</si>
  <si>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</si>
  <si>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</si>
  <si>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Оснащение и лицензирование медицинских кабинетов образовательных организаций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</si>
  <si>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</si>
  <si>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</si>
  <si>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</si>
  <si>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 муниципальных образований Московской области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</si>
  <si>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</si>
  <si>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</si>
  <si>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</si>
  <si>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</si>
  <si>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</si>
  <si>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</si>
  <si>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Основное мероприятие Е2.</t>
  </si>
  <si>
    <t>Успех каждого ребенка</t>
  </si>
  <si>
    <t>Основное мероприятие Е1.</t>
  </si>
  <si>
    <t>Современная школа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</si>
  <si>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</si>
  <si>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</si>
  <si>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Основное мероприятие А2.</t>
  </si>
  <si>
    <t>Творческие люди</t>
  </si>
  <si>
    <t>Основное мероприятие А1.</t>
  </si>
  <si>
    <t>Культурная среда</t>
  </si>
  <si>
    <t>Государственная поддержка отрасли культуры (в части приобретения музыкальных инструментов, оборудования и учебных материалов для оснащения муниципальных учреждений дополнительного образования сферы культуры Московской области)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</si>
  <si>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</si>
  <si>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</si>
  <si>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>Основное мероприятие Е4.</t>
  </si>
  <si>
    <t>Цифровая образовательная среда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</si>
  <si>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</si>
  <si>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Финансовое обеспечение оказания услуг (выполнения работ) организациями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</si>
  <si>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</si>
  <si>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</si>
  <si>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</si>
  <si>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Основное мероприятие 4.</t>
  </si>
  <si>
    <t>Реализация комплекса мер, направленных на развитие семейного устройства детей-сирот и детей, оставшихся без попечения родителей, и сопровождение замещающих семей</t>
  </si>
  <si>
    <t>Основное мероприятие 6.</t>
  </si>
  <si>
    <t>Обеспечение функционирования модели персонифицированного финансирования дополнительного образования детей</t>
  </si>
  <si>
    <t>Профессиональное образование</t>
  </si>
  <si>
    <t>Учитель будущего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</si>
  <si>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</si>
  <si>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</si>
  <si>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</si>
  <si>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Социальная защита населения</t>
  </si>
  <si>
    <t>Социальная поддержка граждан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</si>
  <si>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</si>
  <si>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>Предоставление гражданам субсидий на оплату жилого помещения и коммунальных услуг</t>
  </si>
  <si>
    <t>Выполнено на 55,8%</t>
  </si>
  <si>
    <t>Обеспечение предоставления гражданам субсидий на оплату жилого помещения и коммунальных услуг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</si>
  <si>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</si>
  <si>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</si>
  <si>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>Выполнено на 43,5%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</si>
  <si>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</si>
  <si>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19.</t>
  </si>
  <si>
    <t>Дополнительные меры социальной поддержки и социальной помощи гражданам</t>
  </si>
  <si>
    <t>Оказание мер социальной поддержки отдельным категория граждан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</si>
  <si>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(иглы, тест-полоски 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</si>
  <si>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</si>
  <si>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Выполнено на 47,8%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</si>
  <si>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</si>
  <si>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Выполнено на 16,3%</t>
  </si>
  <si>
    <t>Оказание экстренной социальной помощи гражданам, имеющим место жительства в Московской области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</si>
  <si>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</si>
  <si>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Основное мероприятие 20.</t>
  </si>
  <si>
    <t>Создание условий для поддержания здорового образа жизни</t>
  </si>
  <si>
    <t>Возмещение расходов на материально-техническое обеспечение клубов "Активное долголетие"</t>
  </si>
  <si>
    <t>Доступная среда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</si>
  <si>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</si>
  <si>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</si>
  <si>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</si>
  <si>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Развитие системы отдыха и оздоровления детей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</si>
  <si>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</si>
  <si>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</si>
  <si>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Организация отдыха детей младшего школьного возраста  на базе организаций образования   </t>
  </si>
  <si>
    <t>Организация отдыха и оздоровления детей из различных категорий семей, в том числе,  с трудной жизненной ситуацией ,в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</si>
  <si>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</si>
  <si>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</si>
  <si>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</si>
  <si>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</si>
  <si>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молодежных трудовых отрядов в дни школьных каникул.</t>
  </si>
  <si>
    <t>Организация отдыха детей в военно-спортивном лагере Подмосковья.</t>
  </si>
  <si>
    <t>Развитие трудовых ресурсов и охраны труда</t>
  </si>
  <si>
    <t xml:space="preserve">Финансирование не предусмотрено </t>
  </si>
  <si>
    <t>Профилактика производственного травматизма</t>
  </si>
  <si>
    <t>Мероприятия по участию в расследовании несчастных случаев с тяжелыми последствиями представителей органов местного самоуправления муниципальных образований Московской области и центральных исполнительных органов государственной власти Московской области</t>
  </si>
  <si>
    <t>Мониторинг состояния условий и охраны труда</t>
  </si>
  <si>
    <t>Участие в расследовании несчастных случаев на производстве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</si>
  <si>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</si>
  <si>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</si>
  <si>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Предоставление субсидии СО НКО, оказывающим услугу присмотра и ухода за детьми</t>
  </si>
  <si>
    <t>Осуществление имущественной, информационной и консультационной поддержки СО НКО</t>
  </si>
  <si>
    <t>Предоставление имущественной и консультационной поддержки СО НКО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</si>
  <si>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</si>
  <si>
    <t xml:space="preserve">Спорт 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</si>
  <si>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</si>
  <si>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</si>
  <si>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Расходы на обеспечение деятельности (оказание услуг) муниципальных учреждений в области физической культуры и спорта</t>
  </si>
  <si>
    <t>Капитальный ремонт, техническое переоснащение и благоустройство территорий учреждений физкультуры и спорта</t>
  </si>
  <si>
    <t>Организация и проведение официальных физкультурно-оздоровительных и спортивных мероприятий</t>
  </si>
  <si>
    <t>Подготовка спортивного резерва</t>
  </si>
  <si>
    <t>Подготовка спортивных сборных команд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</si>
  <si>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</si>
  <si>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Развитие видов спорта в Московской области</t>
  </si>
  <si>
    <t>Развитие вратарского мастерства по футболу в Московской области</t>
  </si>
  <si>
    <t>Обеспечение деятельности органов местного самоуправления</t>
  </si>
  <si>
    <t xml:space="preserve">Развитие сельского хозяйства </t>
  </si>
  <si>
    <t>Обеспечение эпизоотического и ветеринарно-санитарного благополучия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</si>
  <si>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</si>
  <si>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</si>
  <si>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Экология и окружающая среда</t>
  </si>
  <si>
    <t>Охрана окружающей среды</t>
  </si>
  <si>
    <t>Проведение обследований состояния окружающей среды и проведение мероприятий по охране окружающей среды</t>
  </si>
  <si>
    <t>Проведение экологических мероприятий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</si>
  <si>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находящихся в собственности муниципального образования)</t>
  </si>
  <si>
    <t>Вовлечение населения в экологические мероприятия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</si>
  <si>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</si>
  <si>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</si>
  <si>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</t>
  </si>
  <si>
    <t>Проведение мероприятий по профилактике терроризма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</si>
  <si>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</si>
  <si>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Выполнено на 27,2%</t>
  </si>
  <si>
    <t>Оборудование социально-значимых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</si>
  <si>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Обеспечение деятельности общественных объединений правоохранительной направленности</t>
  </si>
  <si>
    <t>Выполнено на 92%</t>
  </si>
  <si>
    <t>Материальное стимулирование народных дружинников</t>
  </si>
  <si>
    <t>Выполнено на 98,9%</t>
  </si>
  <si>
    <t>Материально–техническое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</si>
  <si>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</si>
  <si>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</si>
  <si>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</si>
  <si>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</si>
  <si>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</si>
  <si>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Проведение мероприятий по профилактике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</si>
  <si>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</si>
  <si>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Обслуживание, модернизация и развитие системы «Безопасный регион»</t>
  </si>
  <si>
    <t>Обеспечение установки на коммерческих объектах видеокамер с подключением к системе «Безопасный регион», а также интеграция имещиюхся средств видеонаблюдения коммерческих объектов в систему «Безопасный регион»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</si>
  <si>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</si>
  <si>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Выполнено на 6,2%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</si>
  <si>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</si>
  <si>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</si>
  <si>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Выполнено на 67,3%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</si>
  <si>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</si>
  <si>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Выполнено на 55,1%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</si>
  <si>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</si>
  <si>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Снижение рисков возникновения и смягчение последствий чрезвычайных ситуаций природного и техногенного характера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</si>
  <si>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территорий</t>
  </si>
  <si>
    <t>Подготовка должностных лиц по вопросам гражданской обороны, предупреждения и ликвидации чрезвычайных ситуаций (Институт развития МЧС России, УМЦ ГКУ «Специальный центр «Звенигород», др. специализированные учебные учреждения)</t>
  </si>
  <si>
    <t>Создание и содержание курсов гражданской обороны</t>
  </si>
  <si>
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</si>
  <si>
    <t>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</t>
  </si>
  <si>
    <t>Проведение учений, соревнований, тренировок, смотров-конкурсов</t>
  </si>
  <si>
    <t>Создание резервов материальных ресурсов для ликвидации ЧС на территории муниципального образования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</si>
  <si>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</si>
  <si>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Создание, содержание и организация деятельности аварийно-спасательных формирований на территории муниципального образования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</si>
  <si>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</si>
  <si>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</si>
  <si>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>Выполнение мероприятий по безопасности населения на водных объектах, расположенных на территории Московской области</t>
  </si>
  <si>
    <t>Осуществление мероприятий по обеспечению безопасности людей на водных объектах, охране их жизни и здоровья</t>
  </si>
  <si>
    <t>Создание, поддержание мест массового отдыха у воды (пляж, спасательный пост на воде, установление аншлагов)</t>
  </si>
  <si>
    <t>Создание, содержание системно-аппаратного комплекса «Безопасный город» на территории Московской области</t>
  </si>
  <si>
    <t>Создание, содержание системно-аппаратного комплекса «Безопасный город»</t>
  </si>
  <si>
    <t>Развитие и совершенствование систем оповещения и информирования населения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</si>
  <si>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</t>
  </si>
  <si>
    <t>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</t>
  </si>
  <si>
    <t>Обеспечение пожарной безопасности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</si>
  <si>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</si>
  <si>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</si>
  <si>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 xml:space="preserve">Выполнено на  0% </t>
  </si>
  <si>
    <t>Содержание пожарных гидрантов, обеспечение их исправного состояния и готовности к забору воды в любое время года</t>
  </si>
  <si>
    <t>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</si>
  <si>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</si>
  <si>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</si>
  <si>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</si>
  <si>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</si>
  <si>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Обеспечение связи и оповещения населения о пожаре</t>
  </si>
  <si>
    <t xml:space="preserve">Выполнено на  41,7% </t>
  </si>
  <si>
    <t>Обеспечение мероприятий гражданской обороны</t>
  </si>
  <si>
    <t xml:space="preserve">Выполнено на 88,4% 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</si>
  <si>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</si>
  <si>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 xml:space="preserve">Выполнено на 0% </t>
  </si>
  <si>
    <t>Создание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</si>
  <si>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</si>
  <si>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</si>
  <si>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</si>
  <si>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</t>
  </si>
  <si>
    <t>Подпрограмма 6</t>
  </si>
  <si>
    <t>Расходы на обеспечение деятельности (оказание услуг) муниципальных учреждений - служба спасения</t>
  </si>
  <si>
    <t>Проведение мероприятий по предупреждению и ликвидации последствий ЧС на территории муниципального образования</t>
  </si>
  <si>
    <t xml:space="preserve">Жилище </t>
  </si>
  <si>
    <t>Комплексное освоение земельных участков в целях жилищного строительства и развитие застроенных территорий</t>
  </si>
  <si>
    <t>Создание условий для развития рынка доступного жилья, развитие жилищного строительства</t>
  </si>
  <si>
    <t>Организация строительства</t>
  </si>
  <si>
    <t>Расходы на реализацию мероприятий по обеспечению проживающих в городского округе и нуждающихся в жилых помещениях малоимущих граждан жилыми помещениями</t>
  </si>
  <si>
    <t>Обеспечение проживающих в городском округе и нуждающихся в жилых помещениях малоимущих граждан жилыми помещениями</t>
  </si>
  <si>
    <t>Обеспечение прав пострадавших граждан-соинвесторов</t>
  </si>
  <si>
    <t>Мероприятия, направленные на достижение показателей (без финансирования)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</si>
  <si>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</si>
  <si>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</si>
  <si>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</si>
  <si>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</si>
  <si>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</t>
  </si>
  <si>
    <t>Реализация мероприятий по обеспечению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</si>
  <si>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</si>
  <si>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Выполнено на 45%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</si>
  <si>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</si>
  <si>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помещений.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</si>
  <si>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</si>
  <si>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</si>
  <si>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</si>
  <si>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</si>
  <si>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Развитие инженерной инфраструктуры и энергоэффективности</t>
  </si>
  <si>
    <t>Создание условий для обеспечения качественными коммунальными услугами</t>
  </si>
  <si>
    <t>Строительство, реконструкция, капитальный (текущий) ремонт, приобретение, монтаж и ввод в эксплуатацию объектов коммунальной инфраструктуры</t>
  </si>
  <si>
    <t>Капитальный ремонт, приобретение, монтаж и ввод в эксплуатацию объектов коммунальной инфраструктуры</t>
  </si>
  <si>
    <t>Строительство и реконструкция объектов коммунальной инфраструктуры</t>
  </si>
  <si>
    <t>Реализация проектов государственно-частного партнерства в сфере теплоснабжения</t>
  </si>
  <si>
    <t>Приобретение объектов коммунальной инфраструктуры</t>
  </si>
  <si>
    <t>Организация в границах городского округа теплоснабжения населения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</si>
  <si>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</si>
  <si>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Утверждение схем теплоснабжения городских округов (актуализированных схем теплоснабжения городских округов)</t>
  </si>
  <si>
    <t>Утверждение схем водоснабжения и водоотведения городских округов (актуализированных схем водоснабжения и водоотведения городских округов)</t>
  </si>
  <si>
    <t>Утверждение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</si>
  <si>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</si>
  <si>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</si>
  <si>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Установка (модернизация) ИТП с установкой теплообменника отопления и аппаратуры управления отоплением</t>
  </si>
  <si>
    <t>Установка терморегулирующих клапанов (терморегуляторов) на отопительных приборах</t>
  </si>
  <si>
    <t>Промывка трубопроводов и стояков системы отопления</t>
  </si>
  <si>
    <t>Замена светильников внутреннего освещения на светодиодные</t>
  </si>
  <si>
    <t>Установка автоматизированной системы регулирования освещением, датчиков движения и освещенности</t>
  </si>
  <si>
    <t>Повышение теплозащиты наружных стен, утепление кровли и чердачных помещений</t>
  </si>
  <si>
    <t>Установка насосного оборудования и электроустановок с частотно- регулируемым приводом</t>
  </si>
  <si>
    <t>Модернизация трубопроводов и арматуры системы ГВС</t>
  </si>
  <si>
    <t>Установка аэраторов с регулятором расхода воды</t>
  </si>
  <si>
    <t>Установка, замена, поверка приборов учета энергетических ресурсов на объектах бюджетной сферы</t>
  </si>
  <si>
    <t>Организация учета энергоресурсов в жилищном фонде</t>
  </si>
  <si>
    <t>Установка, замена, поверка общедомовых приборов учета энергетических ресурсов в многоквартирных домах</t>
  </si>
  <si>
    <t>Повышение энергетической эффективности многоквартирных домов</t>
  </si>
  <si>
    <t>Организация работы с УК по подаче заявлений в ГУ МО "Государственная жилищная инспекция Московской области"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</si>
  <si>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</si>
  <si>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Расходы на обеспечение деятельности (оказание услуг) муниципальных учреждений в сфере жилищно-коммунального хозяйства</t>
  </si>
  <si>
    <t>Обеспечение деятельности муниципальных органов - учреждения в сфере жилищно-коммунального хозяйства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</si>
  <si>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</si>
  <si>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 xml:space="preserve">Предпринимательство </t>
  </si>
  <si>
    <t>Инвестиции</t>
  </si>
  <si>
    <t>Создание многофункциональных индустриальных парков, технологических парков, промышленных площадок</t>
  </si>
  <si>
    <t>Стимулирование инвестиционной деятельности муниципальных образований</t>
  </si>
  <si>
    <t>Привлечение резидентов на территорию индустриальных парков, технопарков, промышленных площадок на долгосрочной основе</t>
  </si>
  <si>
    <t>Создание многопрофильных индустриальных парков, промышленных площадок, в том числе развитие энергетической, инженерной и транспортной инфраструктуры;- участие в выставочно-ярмарочных мероприятиях, форумах, направленных на повышение конкурентоспособности и инвестиционной;- организация работы с возможными участниками для заключения соглашений об участии сторон государственного-частного партнерства в реализации проектов;- формирование реестра реализуемых инвестиционных проектов, ввод информации в систему ЕАС ПИП</t>
  </si>
  <si>
    <t>Поиск инвесторов, подготовка коммерческих предложений; организация мероприятий с презентацией муниципального образования; проведение личных встреч Главы с представителями бизнеса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</si>
  <si>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</si>
  <si>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</si>
  <si>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Организация работ по поддержке и развитию промышленного потенциала</t>
  </si>
  <si>
    <t>Создание новых рабочих мест за счет проводимых мероприятий направленных на расширение имеющихся производств</t>
  </si>
  <si>
    <t>Создание и открытие новых промышленных предприятий</t>
  </si>
  <si>
    <t>Увеличение предприятий с высокопроизводительными рабочими местами</t>
  </si>
  <si>
    <t>Основное мероприятие 10.</t>
  </si>
  <si>
    <t>Проведение конкурсного отбора лучших концепций по развитию территорий муниципальных образований Московской области и дальнейшая реализация концепций победителей конкурса</t>
  </si>
  <si>
    <t>Предоставление грантов муниципальным образованиям – победителям конкурсного отбора лучших концепций по развитию территорий муниципальных образований Московской области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</si>
  <si>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</si>
  <si>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</si>
  <si>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Привлечение специализированной организации к осуществлению закупок</t>
  </si>
  <si>
    <t>Развитие конкурентной среды в рамках Федерального закона № 44-ФЗ</t>
  </si>
  <si>
    <t>Информирование общественности о предполагаемых потребностях в товарах (работах, услугах) в рамках размещения информации об осуществлении закупок и проведении иных конкурентных процедур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</si>
  <si>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</si>
  <si>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Проведение оценки соответствия планов закупки товаров, работ, услуг, планов инновационной продукции, высокотехнологичной продукции, лекарственных средств, изменений, внесенных в такие планы, требованиям законодательства Российской Федерации, предусматривающим участие субъектов малого и среднего предпринимательства в закупке</t>
  </si>
  <si>
    <t>Мониторинг размещения в плане закупок товаров (работ, услуг) раздела об участии субъектов малого и среднего предпринимательства в закупке в соответствии с Правилами формирования плана закупок товаров (работ, услуг) и требованиями к форме такого плана, утвержденными постановлением Правительства Российской Федерации от 17.09.2012 № 932 «Об утверждении Правил формирования плана закупки товаров (работ, услуг) и требований к форме такого плана», а также отражения номенклатурных позиций в кодах ОКВЭД2 и ОКПД2»</t>
  </si>
  <si>
    <t>Реализация комплекса мер по содействию развитию конкуренции</t>
  </si>
  <si>
    <t>Разработка и корректировка плана мероприятий («дорожной карты») по содействию развитию конкуренции в муниципальном образовании Московской области</t>
  </si>
  <si>
    <t>Развитие малого и среднего предпринимательства</t>
  </si>
  <si>
    <t>Основное мероприятие I8.</t>
  </si>
  <si>
    <t>Популяризация предпринимательства</t>
  </si>
  <si>
    <t>Реализация мероприятий по популяризации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</si>
  <si>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</si>
  <si>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</si>
  <si>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</si>
  <si>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Частичная компенсация затрат субъектам малого и среднего предпринимательства, осуществляющим предоставление услуг (производство товаров) в следующих сферах деятельности: социальное обслуживание граждан, услуги здравоохранения, физкультурно-оздоровительная деятельность, реабилитация инвалидов, проведение занятий в детских и молодежных кружках, секциях, студиях, создание и развитие детских центров, производство и (или) реализация медицинской техники, протезно-ортопедических изделий, а также технических средств, включая автомототранспорт, материалов для профилактики инвалидности или реабилитации инвалидов, обеспечение культурно-просветительской деятельности (музеи, театры, школы-студии, музыкальные учреждения, творческие мастерские), предоставление образовательных услуг группам граждан, имеющим ограниченный доступ к образовательным услугам, ремесленничество</t>
  </si>
  <si>
    <t>Расходы на обеспечение деятельности (оказание услуг) в сфере предпринимательства, создание коворкинг центров</t>
  </si>
  <si>
    <t>Развитие потребительского рынка и услуг</t>
  </si>
  <si>
    <t>Развитие потребительского рынка и услуг на территории муниципального образования Московской области</t>
  </si>
  <si>
    <t>Содействие вводу (строительству) новых современных объектов потребительского рынка и услуг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</si>
  <si>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</si>
  <si>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Организация и проведение «социальных» акций для ветеранов и инвалидов Великой Отечественной войны, социально незащищенных категорий граждан с участием хозяйствующих субъектов, осуществляющих деятельность в сфере потребительского рынка и услуг</t>
  </si>
  <si>
    <t>Разработка, согласование и утверждение в муниципальном образовании Московской области схем размещения нестационарных торговых объектов, а также демонтаж нестационарных торговых объектов, размещение которых не соответствует схеме размещения нестационарных торговых объектов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</si>
  <si>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</si>
  <si>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Развитие сферы общественного питания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</si>
  <si>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предприятиями общественного питания</t>
  </si>
  <si>
    <t>Развитие сферы бытовых услуг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</si>
  <si>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Московской области предприятиями бытового обслуживания</t>
  </si>
  <si>
    <t>Участие в организации региональной системы защиты прав потребителей</t>
  </si>
  <si>
    <t>Рассмотрение обращений и жалоб, консультация граждан по вопросам защиты прав потребителей</t>
  </si>
  <si>
    <t>Обращения в суды по вопросу защиты прав потребителей</t>
  </si>
  <si>
    <t xml:space="preserve">Управление имуществом и муниципальными финансами </t>
  </si>
  <si>
    <t>Развитие имущественного комплекса</t>
  </si>
  <si>
    <t>Управление имуществом, находящимся в муниципальной собственности,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</si>
  <si>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</si>
  <si>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</si>
  <si>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Организация в соответствии с Федеральным законом от 24 июля 2007 г. №221-ФЗ «О государственном кадастре недвижимости»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</si>
  <si>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</si>
  <si>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Осуществление государственных полномочий Московской области в области земельных отношений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</si>
  <si>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</si>
  <si>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</si>
  <si>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Выполнено на 22,9%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</si>
  <si>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</si>
  <si>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</si>
  <si>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</si>
  <si>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</si>
  <si>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Разработка мероприятий, направленных на увеличение доходов и снижение задолженности по налоговым платежам</t>
  </si>
  <si>
    <t>Осуществление мониторинга поступлений налоговых и неналоговых доходов местного бюджета</t>
  </si>
  <si>
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</si>
  <si>
    <t>Проведение работы с главными администраторами по представлению прогноза поступления доходов и аналитических материалов по исполнению бюджета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</si>
  <si>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муниципальных образованиях Московской области</t>
  </si>
  <si>
    <t>Мониторинг и оценка качества управления муниципальными финансами</t>
  </si>
  <si>
    <t>Управление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</si>
  <si>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</si>
  <si>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</si>
  <si>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Ежегодное снижение доли просроченной кредиторской задолженности в расходах бюджета городского округа</t>
  </si>
  <si>
    <t>Проведение анализа сложившейся просроченной кредиторской задолженности"</t>
  </si>
  <si>
    <t>Инвентаризация просроченной кредиторской задолженности"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</si>
  <si>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</si>
  <si>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</si>
  <si>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</si>
  <si>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</si>
  <si>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Взносы в общественные организации (Уплата членских взносов членами Совета муниципальных образований Московской области)</t>
  </si>
  <si>
    <t>Выполнено на 98,4%</t>
  </si>
  <si>
    <t>Выполнено на 38,1%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</si>
  <si>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</si>
  <si>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</si>
  <si>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</si>
  <si>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</si>
  <si>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</si>
  <si>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</si>
  <si>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</si>
  <si>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Выполнено на 48,8%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</si>
  <si>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</si>
  <si>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</si>
  <si>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Расходы на обеспечение деятельности (оказание услуг) муниципальных учреждений в сфере информационной политики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</si>
  <si>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</si>
  <si>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Организация создания и эксплуатации сети объектов наружной рекламы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</si>
  <si>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</si>
  <si>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</si>
  <si>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</si>
  <si>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Осуществление мониторинга задолженности за установку и эксплуатацию рекламных конструкций и реализация мер по её взысканию</t>
  </si>
  <si>
    <t>Эффективное местное самоуправление Московской области</t>
  </si>
  <si>
    <t>Реализация практик инициативного бюджетирования на территории муниципальных образований Московской области</t>
  </si>
  <si>
    <t>Реализация проектов граждан, сформированных в рамках практик инициативного бюджетирования</t>
  </si>
  <si>
    <t>Молодежь Подмосковья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</si>
  <si>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</si>
  <si>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</si>
  <si>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обучению, переобучению, повышению квалификации и обмену опытом специалистов</t>
  </si>
  <si>
    <t>Проведение мероприятий по обеспечению занятости несовершеннолетних</t>
  </si>
  <si>
    <t>Проведение капитального ремонта, технического переоснащения и благоустройства территорий учреждений в сфере молодежной политики</t>
  </si>
  <si>
    <t>Расходы на обеспечение деятельности (оказание услуг) муниципальных учреждений в сфере молодежной политики)</t>
  </si>
  <si>
    <t>Выполнено на 46%</t>
  </si>
  <si>
    <t>Социальная активность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</si>
  <si>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</si>
  <si>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</si>
  <si>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</si>
  <si>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Подготовка и проведение Всероссийской переписи населения</t>
  </si>
  <si>
    <t>Проведение Всероссийской переписи населения 2020 года</t>
  </si>
  <si>
    <t>Развитие и функционирование дорожно - транспортного комплекса</t>
  </si>
  <si>
    <t>Пассажирский транспорт общего пользования</t>
  </si>
  <si>
    <t>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</si>
  <si>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</si>
  <si>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</si>
  <si>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</si>
  <si>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</si>
  <si>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</si>
  <si>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</si>
  <si>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</si>
  <si>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</si>
  <si>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Дорожная деятельность в отношении автомобильных дорог местного значения в границах городского округа</t>
  </si>
  <si>
    <t>Содержание автомобильных дорог общего пользования местного значения с совершенствованным типом покрытия</t>
  </si>
  <si>
    <t>Выполнено на 46,2%</t>
  </si>
  <si>
    <t>Содержание и ремонт ливневой канализации</t>
  </si>
  <si>
    <t>Ремонт тротуаров</t>
  </si>
  <si>
    <t>Проектирование ливневой канализации</t>
  </si>
  <si>
    <t>Замена стекол на автобусных остановках</t>
  </si>
  <si>
    <t>Оценка качества укладки асфальта при ремонте дорог</t>
  </si>
  <si>
    <t>Ямочный ремонт дворовых территорий по Доброделу</t>
  </si>
  <si>
    <t>Софинансирование работ по капитальному ремонту и ремонту автомобильных дорог общего пользования местного значения</t>
  </si>
  <si>
    <t>Мероприятия по обеспечению безопасности дорожного движения</t>
  </si>
  <si>
    <t>Установка дорожных знаков</t>
  </si>
  <si>
    <t>Создание и обеспечение функционирования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</si>
  <si>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</si>
  <si>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 xml:space="preserve">Цифровое муниципальное образование 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</si>
  <si>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</t>
  </si>
  <si>
    <t>Реализация общесистемных мер по повышению качества и доступности государственных и муниципальных услуг в Московской области</t>
  </si>
  <si>
    <t>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</si>
  <si>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>Оперативный мониторинг качества и доступности предоставления государственных и муниципальных услуг, в том числе по принципу «одного окна»</t>
  </si>
  <si>
    <t>Организация деятельности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</si>
  <si>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</si>
  <si>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</si>
  <si>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</si>
  <si>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</si>
  <si>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Выполнено на 16,5%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</si>
  <si>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</si>
  <si>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</si>
  <si>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</si>
  <si>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</si>
  <si>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</si>
  <si>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</si>
  <si>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</si>
  <si>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</si>
  <si>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</si>
  <si>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</si>
  <si>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</si>
  <si>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</si>
  <si>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</si>
  <si>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</si>
  <si>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</si>
  <si>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</si>
  <si>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Цифровая культура</t>
  </si>
  <si>
    <t>Обеспечение муниципальных учреждений культуры доступом в информационно-телекоммуникационную сеть Интернет</t>
  </si>
  <si>
    <t>Основное мероприятие D6.</t>
  </si>
  <si>
    <t>Выполнено на 33,3%</t>
  </si>
  <si>
    <t>Предоставление доступа к электронным сервисам цифровой инфраструктуры в сфере жилищно-коммунального хозяйства</t>
  </si>
  <si>
    <t>Основное мероприятие E4.</t>
  </si>
  <si>
    <t>Обеспечение современными аппаратно-программными комплексами общеобразовательных организаций в Московской области</t>
  </si>
  <si>
    <t>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</t>
  </si>
  <si>
    <t>Оснащение планшетными компьютерами общеобразовательных организаций в муниципальном образовании Московской области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</si>
  <si>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</si>
  <si>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</si>
  <si>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</si>
  <si>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Архитектура и градостроительство </t>
  </si>
  <si>
    <t xml:space="preserve">Разработка Генерального плана развития городского округа
</t>
  </si>
  <si>
    <t xml:space="preserve">Разработка и внесение изменений в документы территориального планирования муниципальных образований Московской области </t>
  </si>
  <si>
    <t>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</si>
  <si>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генерального плана городского округа (внесение изменений в генеральный план городского округа)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</si>
  <si>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</si>
  <si>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проведения публичных слушаний/общественных обсуждений по проекту Правил землепользования и застройки городского округа (внесение изменений в Правила землепользования и застройки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</si>
  <si>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Правил землепользования и застройки городского округа (внесение изменений в Правила землепользования и застройки городского округа)</t>
  </si>
  <si>
    <t>Обеспечение разработки и внесение изменений в нормативы градостроительного проектирования городского округа</t>
  </si>
  <si>
    <t>Разработка и внесение изменений в нормативы градостроительного проектирования городского округа</t>
  </si>
  <si>
    <t xml:space="preserve">Обеспечение рассмотрения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городского округа (внесение изменений в нормативы градостроительного проектирования) </t>
  </si>
  <si>
    <t>Реализация политики пространственного развития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</si>
  <si>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</si>
  <si>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</si>
  <si>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Обеспечение мер по ликвидации самовольных, недостроенных и аварийных объектов на территории муниципального образования Московской области</t>
  </si>
  <si>
    <t>Ликвидация самовольных, недостроенных и аварийных объектов на территории муниципального образования Московской области</t>
  </si>
  <si>
    <t>Обеспечение деятельности органов местного самоуправления муниципального образования Московской области</t>
  </si>
  <si>
    <t>Расходы на обеспечение деятельности (оказание услуг) в сфере архитектуры и градостроительства</t>
  </si>
  <si>
    <t xml:space="preserve">Формирование современной комфортной городской среды 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</si>
  <si>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</si>
  <si>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</si>
  <si>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Реализация мероприятий, связанных с запуском Московских центральных диаметров</t>
  </si>
  <si>
    <t>Приобретение и установка технических сооружений (устройств) для развлечений, оснащенных электрическим приводом</t>
  </si>
  <si>
    <t>Изготовление и установка стел</t>
  </si>
  <si>
    <t>Комплексное благоустройство территорий муниципальных образований Московской области</t>
  </si>
  <si>
    <t>Реализация мероприятий по организации функциональных зон в парках культуры и отдыха</t>
  </si>
  <si>
    <t>Устройство контейнерных площадок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</si>
  <si>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</si>
  <si>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Приобретение коммунальной техники за счет средств местного бюджета</t>
  </si>
  <si>
    <t>Создание новых и (или) благоустройство существующих парков культуры и отдыха за счет средств местного бюджета</t>
  </si>
  <si>
    <t xml:space="preserve">Обустройство и установка детских игровых площадок на территории муниципальных образований Московской области за счет средств местного бюджета </t>
  </si>
  <si>
    <t xml:space="preserve">Устройство и капитальный ремонт архитектурно-художественного освещения в рамках реализации проекта "Светлый город" за счет средств местного бюджета </t>
  </si>
  <si>
    <t>Устройство и капитальный ремонт электросетевого хозяйства, систем наружного освещения в рамках реализации проекта "Светлый город" за счет средств местного бюджета</t>
  </si>
  <si>
    <t xml:space="preserve">Обустройство и установка детских игровых площадок в парках культуры и отдыха Московской области за счет средств местного бюджета </t>
  </si>
  <si>
    <t>Ремонт дворовых территорий за счет средств местного бюджета</t>
  </si>
  <si>
    <t>Благоустройство общественных территорий</t>
  </si>
  <si>
    <t>Благоустройство сквера за ДК "МИР"</t>
  </si>
  <si>
    <t>Разработка проекта по благоустройству общественных территорий мкр. 6А между МКАД и улицы Реутовских ополченцев</t>
  </si>
  <si>
    <t>Благоустройство мини-скверов по адресам: Московская обл., г.о. Реутов, ул. Молодежная (район домов 5,6), проспект Юбилейный (район домов 34, 36,38), ул. Октября, 5</t>
  </si>
  <si>
    <t>Разработка концепции архитектурно-художественной подсветки зданий, сооружений и концепции установки пешеходной навигации</t>
  </si>
  <si>
    <t>Стратегия озеленения города "Зеленый каркас"</t>
  </si>
  <si>
    <t>Устройство архитектурно-художественного освещения</t>
  </si>
  <si>
    <t>Строительный контроль благоустройства улицы Южной по адресу: Московская область, г.о. Реутов, ул. Южная (на участке от Юбилейного пр-та до ул. Октября)</t>
  </si>
  <si>
    <t>Строительно-монтажные работы по ул. Парковой</t>
  </si>
  <si>
    <t>Разработка проектной документации по реконструкции ул. Ашхабадская и ул. Железнодорожная</t>
  </si>
  <si>
    <t>Разработка проектной документации по благоустройству ул. Южной и Юбилейного пр. по адресу: г.о. Реутов, ул. Южная (на участке от Юбилейного пр. до Носовихинского шоссе) и Юбилейный пр. (от улицы Южная до Носовихинского шоссе)</t>
  </si>
  <si>
    <t>Архитектурный надзор благоустройства улицы Южной по адресу: Московская область, г.о. Реутов, ул. Южная (на участке от Юбилейного пр-та до ул. Октября)</t>
  </si>
  <si>
    <t>Комплексное благоустройство дворовых территорий</t>
  </si>
  <si>
    <t>Выполнение мероприятий по организации наружного освещения территорий  городских округов Московской области</t>
  </si>
  <si>
    <t>Оплата кредиторской задолженности за выполненные работы по устройству контейнерных площадок в 2019 году</t>
  </si>
  <si>
    <t>Основное мероприятие F2.</t>
  </si>
  <si>
    <t>Формирование комфортной городской среды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</si>
  <si>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</si>
  <si>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в рамках подготовки к празднованию юбилеев муниципальных образований Московской области</t>
  </si>
  <si>
    <t>Реализация программ формирования современной городской среды в части благоустройства общественных территорий</t>
  </si>
  <si>
    <t>Реализация программ формирования современной городской среды в части благоустройства общественных территорий в исторических городах федерального значения</t>
  </si>
  <si>
    <t>Реализация программ формирования современной городской среды в части благоустройства общественных территорий в военных городках Московской области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</si>
  <si>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</si>
  <si>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</si>
  <si>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Ремонт дворовых территорий</t>
  </si>
  <si>
    <t>Приобретение коммунальной техники</t>
  </si>
  <si>
    <t>Устройство и капитальный ремонт электросетевого хозяйства, систем наружного освещения в рамках реализации проекта «Светлый город»</t>
  </si>
  <si>
    <t>Создание новых и (или) благоустройство существующих парков культуры и отдыха, расположенных на землях лесного фонда</t>
  </si>
  <si>
    <t>Создание новых и (или) благоустройство существующих парков культуры и отдыха</t>
  </si>
  <si>
    <t>Премирование победителей смотра-конкурса «Парки Подмосковья»</t>
  </si>
  <si>
    <t>Обустройство и установка детских игровых площадок на территории муниципальных образований Московской области</t>
  </si>
  <si>
    <t>Обустройство и установка детских игровых площадок на территории парков культуры и отдыха Московской области</t>
  </si>
  <si>
    <t>Устройство и капитальный ремонт архитектурно-художественного освещения в рамках реализации проекта «Светлый город»</t>
  </si>
  <si>
    <t>Комплексное благоустройство территорий за счет средств местного бюджета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</si>
  <si>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</si>
  <si>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Благоустройство территорий</t>
  </si>
  <si>
    <t>Обеспечение комфортной среды проживания на территории муниципального образования</t>
  </si>
  <si>
    <t>Содержание, ремонт объектов благоустройства, в т.ч. озеленение территорий</t>
  </si>
  <si>
    <t>Содержание, ремонт и восстановление уличного освещения</t>
  </si>
  <si>
    <t>Организация благоустройства территории городского округа в части ремонта асфальтового покрытия дворовых территорий</t>
  </si>
  <si>
    <t>Расходы на обеспечение деятельности (оказание услуг) муниципальных учреждений в сфере благоустройства</t>
  </si>
  <si>
    <t>Выполнено на 40,8%</t>
  </si>
  <si>
    <t>Организация оплачиваемых общественных работ, субботников</t>
  </si>
  <si>
    <t>Вывоз навалов мусора и снега</t>
  </si>
  <si>
    <t xml:space="preserve">Устройство контейнерных площадок </t>
  </si>
  <si>
    <t>Создание условий для обеспечения комфортного проживания жителей в многоквартирных домах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</si>
  <si>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</si>
  <si>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</si>
  <si>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Установка камер видеонаблюдения в подъездах многоквартирных домов за счет средств местного бюджета</t>
  </si>
  <si>
    <t>Оплата кредиторской задолженности за выполненные работы по ремонту подъездов в многоквартирных домах в 2019 году</t>
  </si>
  <si>
    <t xml:space="preserve">Строительство объектов социальной инфраструктуры </t>
  </si>
  <si>
    <t>Строительство (реконструкция) объектов культуры</t>
  </si>
  <si>
    <t>Выполнено на 97,2%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</si>
  <si>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</si>
  <si>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</si>
  <si>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Проектирование и строительство дошкольных образовательных организаций</t>
  </si>
  <si>
    <t>Строительство (реконструкция) объектов дошкольного образования за счет средств бюджетов муниципальных образований Московской области</t>
  </si>
  <si>
    <t>Организация строительства (реконструкции) объектов общего образования</t>
  </si>
  <si>
    <t>Строительство (реконструкция) объектов общего образования за счет средств бюджетов муниципальных образований Московской области</t>
  </si>
  <si>
    <t>Капитальные вложения в объекты общего образования</t>
  </si>
  <si>
    <t>Строительство (реконструкция) объектов физической культуры и спорта</t>
  </si>
  <si>
    <t>Организация строительства (реконструкции) объектов физической культуры и спорта</t>
  </si>
  <si>
    <t>Строительство (реконструкция) объектов физической культуры и спорта за счет средств бюджетов муниципальных образований Московской области</t>
  </si>
  <si>
    <t>Спорт - норма жизни</t>
  </si>
  <si>
    <t>Капитальные вложения в муниципальные объекты физической культуры и спорта</t>
  </si>
  <si>
    <t>Выполнено на 65,6%</t>
  </si>
  <si>
    <t>Выполнение 69%</t>
  </si>
  <si>
    <t>Выполнено на 69%</t>
  </si>
  <si>
    <t>Выполнение 66,3%</t>
  </si>
  <si>
    <t>Выполнено на 66,3%</t>
  </si>
  <si>
    <t>Выполнено на 66,5%</t>
  </si>
  <si>
    <t>Выполнено на 31,1%</t>
  </si>
  <si>
    <t>Выполнено на 62,1%</t>
  </si>
  <si>
    <t>Выполнено на 58,2%</t>
  </si>
  <si>
    <t>Выполнено на 79,6%</t>
  </si>
  <si>
    <t>Выполнение 55,8%</t>
  </si>
  <si>
    <t>Выполнено на 63,6%</t>
  </si>
  <si>
    <t xml:space="preserve">  Мероприятие 3.1.</t>
  </si>
  <si>
    <t xml:space="preserve">  Мероприятие 3.2.</t>
  </si>
  <si>
    <t xml:space="preserve">  Мероприятие 1.1.</t>
  </si>
  <si>
    <t xml:space="preserve">  Мероприятие 1.2.</t>
  </si>
  <si>
    <t xml:space="preserve">  Мероприятие 1.4.</t>
  </si>
  <si>
    <t xml:space="preserve">  Мероприятие 1.5.</t>
  </si>
  <si>
    <t xml:space="preserve">  Мероприятие 1.7.</t>
  </si>
  <si>
    <t xml:space="preserve">  Мероприятие 5.1.</t>
  </si>
  <si>
    <t xml:space="preserve">  Мероприятие 5.2.</t>
  </si>
  <si>
    <t xml:space="preserve">  Мероприятие 5.3.</t>
  </si>
  <si>
    <t xml:space="preserve">  Мероприятие 2.1.</t>
  </si>
  <si>
    <t>Выполнено на 57%</t>
  </si>
  <si>
    <t>Основное мероприятие Р2.</t>
  </si>
  <si>
    <t>Выполнено на 55%</t>
  </si>
  <si>
    <t>Выполнено на 57,1%</t>
  </si>
  <si>
    <t>Выполнено на 58,7%</t>
  </si>
  <si>
    <t>Выполнено на 75%</t>
  </si>
  <si>
    <t>Выполнено на 40%</t>
  </si>
  <si>
    <t>Выполнено на 49,2%</t>
  </si>
  <si>
    <t>Выполнено на 78,6%</t>
  </si>
  <si>
    <t>Выполнено на 67%</t>
  </si>
  <si>
    <t>Выполнено на 60,2%</t>
  </si>
  <si>
    <t>Выполнено на 61,9%</t>
  </si>
  <si>
    <t>Выполнено на 64%</t>
  </si>
  <si>
    <t>Выполнено на 54%</t>
  </si>
  <si>
    <t>Выполнено на 4,1%</t>
  </si>
  <si>
    <t>Выполнено на 64,7%</t>
  </si>
  <si>
    <t>Выполнено на 58,1%</t>
  </si>
  <si>
    <t>Выполнено на 27,6%</t>
  </si>
  <si>
    <t>Выполнено на 60,5%</t>
  </si>
  <si>
    <t>Выполнено на 92,7%</t>
  </si>
  <si>
    <t>Выполнено на 66,9%</t>
  </si>
  <si>
    <t>Выполнено на 49,8%</t>
  </si>
  <si>
    <t>Выполнено на 67,5%</t>
  </si>
  <si>
    <t>Выполнено на 67,8%</t>
  </si>
  <si>
    <t>Выполнено на 63,8%</t>
  </si>
  <si>
    <t>Выполнено на 57,7%</t>
  </si>
  <si>
    <t>Выполнено на 68,7%</t>
  </si>
  <si>
    <t>Выполнено на 59,3%</t>
  </si>
  <si>
    <t xml:space="preserve">  Мероприятие 1.3.</t>
  </si>
  <si>
    <t xml:space="preserve">  Мероприятие Р2.1.</t>
  </si>
  <si>
    <t xml:space="preserve">  Мероприятие Р2.2.</t>
  </si>
  <si>
    <t xml:space="preserve">  Мероприятие 2.2.</t>
  </si>
  <si>
    <t xml:space="preserve">  Мероприятие 2.3.</t>
  </si>
  <si>
    <t xml:space="preserve">  Мероприятие 2.4.</t>
  </si>
  <si>
    <t xml:space="preserve">  Мероприятие 2.5.</t>
  </si>
  <si>
    <t xml:space="preserve">  Мероприятие 2.6.</t>
  </si>
  <si>
    <t xml:space="preserve">  Мероприятие 2.7.</t>
  </si>
  <si>
    <t xml:space="preserve">  Мероприятие 2.8.</t>
  </si>
  <si>
    <t xml:space="preserve">  Мероприятие 1.6.</t>
  </si>
  <si>
    <t xml:space="preserve">  Мероприятие 1.8.</t>
  </si>
  <si>
    <t xml:space="preserve">  Мероприятие 1.9.</t>
  </si>
  <si>
    <t xml:space="preserve">  Мероприятие 3.4.</t>
  </si>
  <si>
    <t xml:space="preserve">  Мероприятие 3.5.</t>
  </si>
  <si>
    <t xml:space="preserve">  Мероприятие 3.6.</t>
  </si>
  <si>
    <t xml:space="preserve">  Мероприятие 3.7.</t>
  </si>
  <si>
    <t xml:space="preserve">  Мероприятие 3.8.</t>
  </si>
  <si>
    <t xml:space="preserve">  Мероприятие 3.9.</t>
  </si>
  <si>
    <t xml:space="preserve">  Мероприятие А1.1.</t>
  </si>
  <si>
    <t xml:space="preserve">  Мероприятие А1.2.</t>
  </si>
  <si>
    <t xml:space="preserve">  Мероприятие А1.3.</t>
  </si>
  <si>
    <t xml:space="preserve">  Мероприятие 3.3.</t>
  </si>
  <si>
    <t>Выполнено на 81,2%</t>
  </si>
  <si>
    <t>Выполнено на 93,2%</t>
  </si>
  <si>
    <t>Выполнено на 96,4%</t>
  </si>
  <si>
    <t>Выполнено на 58%</t>
  </si>
  <si>
    <t>Выполнено на 43,2%</t>
  </si>
  <si>
    <t>Выполнено на 75,7%</t>
  </si>
  <si>
    <t>Выполнено на 45,6%</t>
  </si>
  <si>
    <t>Выполнено на 29%</t>
  </si>
  <si>
    <t>Выполнено на 20,3%</t>
  </si>
  <si>
    <t>Выполнено на 5,8%</t>
  </si>
  <si>
    <t>Выполнено на 97,1%</t>
  </si>
  <si>
    <t>Выполнено на 39,2%</t>
  </si>
  <si>
    <t>Выполнено на 60,1%</t>
  </si>
  <si>
    <t xml:space="preserve">  Мероприятие 18.3.</t>
  </si>
  <si>
    <t xml:space="preserve">  Мероприятие 19.1.</t>
  </si>
  <si>
    <t xml:space="preserve">  Мероприятие 19.2.</t>
  </si>
  <si>
    <t xml:space="preserve">    Мероприятие 19.1.1.</t>
  </si>
  <si>
    <t xml:space="preserve">    Мероприятие 19.1.2.</t>
  </si>
  <si>
    <t xml:space="preserve">    Мероприятие 19.1.3.</t>
  </si>
  <si>
    <t xml:space="preserve">    Мероприятие 19.2.1.</t>
  </si>
  <si>
    <t xml:space="preserve">  Мероприятие 20.4.</t>
  </si>
  <si>
    <t xml:space="preserve">    Мероприятие 5.1.1.</t>
  </si>
  <si>
    <t xml:space="preserve">    Мероприятие 5.1.2.</t>
  </si>
  <si>
    <t xml:space="preserve">    Мероприятие 5.1.3.</t>
  </si>
  <si>
    <t xml:space="preserve">    Мероприятие 5.1.4.</t>
  </si>
  <si>
    <t xml:space="preserve">    Мероприятие 5.1.5.</t>
  </si>
  <si>
    <t xml:space="preserve">    Мероприятие 5.1.6.</t>
  </si>
  <si>
    <t xml:space="preserve">    Мероприятие 5.1.7.</t>
  </si>
  <si>
    <t xml:space="preserve">    Мероприятие 5.1.8.</t>
  </si>
  <si>
    <t xml:space="preserve">    Мероприятие 1.1.1.</t>
  </si>
  <si>
    <t xml:space="preserve">    Мероприятие 1.1.2.</t>
  </si>
  <si>
    <t>Выполнено на 66,7%</t>
  </si>
  <si>
    <t>Выполнено на 71,2%</t>
  </si>
  <si>
    <t>Выполнено на 35,9%</t>
  </si>
  <si>
    <t>Выполнено на 52,3%</t>
  </si>
  <si>
    <t>Выполнено на 63,3%</t>
  </si>
  <si>
    <t>Выполнено на 64,1%</t>
  </si>
  <si>
    <t xml:space="preserve">Выполнено на 64,1%
</t>
  </si>
  <si>
    <t>Выполнено на 61,3%</t>
  </si>
  <si>
    <t>Выполнено на 34%</t>
  </si>
  <si>
    <t>Выполнено на 100%</t>
  </si>
  <si>
    <t>Выполнено на 22,1%</t>
  </si>
  <si>
    <t>Выполнено на  39,3%</t>
  </si>
  <si>
    <t>Выполнено на 0,7%</t>
  </si>
  <si>
    <t xml:space="preserve">Финансирование не предусмотрено
</t>
  </si>
  <si>
    <t>Выполнено на 0,4%</t>
  </si>
  <si>
    <t xml:space="preserve">Выполнено на 0,4%
</t>
  </si>
  <si>
    <t>Выполнено на 74,5%</t>
  </si>
  <si>
    <t xml:space="preserve">Выполнено на 12,1% </t>
  </si>
  <si>
    <t xml:space="preserve"> Выполнено на 3,3%
</t>
  </si>
  <si>
    <t xml:space="preserve"> Выполнено на 0% 
</t>
  </si>
  <si>
    <t xml:space="preserve"> Выполнение на 41,7% </t>
  </si>
  <si>
    <t xml:space="preserve"> Выполнено на 0% </t>
  </si>
  <si>
    <t xml:space="preserve"> Выполнено на 68% </t>
  </si>
  <si>
    <t xml:space="preserve"> Выполнено на 2,9% </t>
  </si>
  <si>
    <t xml:space="preserve">Выполнение на 99% </t>
  </si>
  <si>
    <t xml:space="preserve">Выполнено на 99% </t>
  </si>
  <si>
    <t xml:space="preserve">Выполнено на 59,5% </t>
  </si>
  <si>
    <t xml:space="preserve">  Выполнено на 59,5% </t>
  </si>
  <si>
    <t xml:space="preserve">Выполнено на  60% </t>
  </si>
  <si>
    <t xml:space="preserve">Выполнено на 15% </t>
  </si>
  <si>
    <t>Выполнено на  33,3%</t>
  </si>
  <si>
    <t xml:space="preserve">Выполнено на  61,2% </t>
  </si>
  <si>
    <t>Выполнено на 74%</t>
  </si>
  <si>
    <t xml:space="preserve">  Мероприятие 4.3.</t>
  </si>
  <si>
    <t xml:space="preserve">  Мероприятие 4.4.</t>
  </si>
  <si>
    <t xml:space="preserve">  Мероприятие 5.4.</t>
  </si>
  <si>
    <t xml:space="preserve">  Мероприятие 6.1.</t>
  </si>
  <si>
    <t xml:space="preserve">  Мероприятие 1.10.</t>
  </si>
  <si>
    <t>Выполнено на 56,2%</t>
  </si>
  <si>
    <t>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</t>
  </si>
  <si>
    <t>Выполнено 56,2%</t>
  </si>
  <si>
    <t xml:space="preserve">  Мероприятие 4.1.</t>
  </si>
  <si>
    <t xml:space="preserve">  Мероприятие 7.1.</t>
  </si>
  <si>
    <t>Выполнено на 14%</t>
  </si>
  <si>
    <t>Выполнено на 21,7%</t>
  </si>
  <si>
    <t>Выполнено на 62,8%</t>
  </si>
  <si>
    <t>Выполнено на 22,4%</t>
  </si>
  <si>
    <t>Ремонт здания муниципального бюджетного общеобразовательного учреждения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</si>
  <si>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Оснащение химико-биологических классов в муниципальном бюджетном общеобразовательном учреждении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</si>
  <si>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Создание бизнес-инкубатора в сфере высоких технологий по адресу: Московская область, город Реутов, ул. Победы, д.7</t>
  </si>
  <si>
    <t>Ремонт помещений с обустройством зоны green-space бизнес-инкубатора по адресу: Московская область, город Реутов, ул. Победы, д.7</t>
  </si>
  <si>
    <t>Оснащение бизнес-инкубатора по адресу: Московская область, город Реутов, ул. Победы, д.7</t>
  </si>
  <si>
    <t>Выполнение работ по проверке достоверности определения сметной стоимости по ремонту помещений с обустройством зоны green-space бизнес-инкубатора по адресу: Московская область, город Реутов, ул. Победы, д.7</t>
  </si>
  <si>
    <t>Выполнение работ по технологическому присоединению к электрическим сетям здания по адресу: Московская область, город Реутов, ул. Победы, д.7 в целях создания бизнес-инкубатора</t>
  </si>
  <si>
    <t>Выполнено на 11,3%</t>
  </si>
  <si>
    <t>Выполнено на 2,8%</t>
  </si>
  <si>
    <t>Выполнено на 0,1%</t>
  </si>
  <si>
    <t>Выполнено на 40,2%</t>
  </si>
  <si>
    <t xml:space="preserve">Финансирование не предусмотрено 
</t>
  </si>
  <si>
    <t xml:space="preserve">Выполнено на 0%
</t>
  </si>
  <si>
    <t xml:space="preserve">    Мероприятие 4.1.1.</t>
  </si>
  <si>
    <t xml:space="preserve">    Мероприятие 4.1.2.</t>
  </si>
  <si>
    <t xml:space="preserve">    Мероприятие 4.1.3.</t>
  </si>
  <si>
    <t xml:space="preserve">      Мероприятие 4.1.3.1.</t>
  </si>
  <si>
    <t xml:space="preserve">      Мероприятие 4.1.3.2.</t>
  </si>
  <si>
    <t xml:space="preserve">      Мероприятие 4.1.3.3.</t>
  </si>
  <si>
    <t xml:space="preserve">      Мероприятие 4.1.3.4.</t>
  </si>
  <si>
    <t xml:space="preserve">  Мероприятие 7.3.</t>
  </si>
  <si>
    <t xml:space="preserve">  Мероприятие 7.4.</t>
  </si>
  <si>
    <t xml:space="preserve">  Мероприятие 7.7.</t>
  </si>
  <si>
    <t xml:space="preserve">  Мероприятие 10.1.</t>
  </si>
  <si>
    <t xml:space="preserve">  Мероприятие 4.2.</t>
  </si>
  <si>
    <t xml:space="preserve">  Мероприятие I8.1.</t>
  </si>
  <si>
    <t>Выполнено на 49%</t>
  </si>
  <si>
    <t>Выполнено на 53,5%</t>
  </si>
  <si>
    <t>Выполнено на 76,9%</t>
  </si>
  <si>
    <t>Выполнено на 59,2%</t>
  </si>
  <si>
    <t>Выполнение на 0%</t>
  </si>
  <si>
    <t>Выполнено на 59,8%</t>
  </si>
  <si>
    <t>Выполнено на 55,3%</t>
  </si>
  <si>
    <t>Выполнено на 60,6%</t>
  </si>
  <si>
    <t>Выполнено на 67,9%</t>
  </si>
  <si>
    <t>Выполнено на 58,9%</t>
  </si>
  <si>
    <t xml:space="preserve">  Мероприятие 6.2.</t>
  </si>
  <si>
    <t>Выполнено на  49%</t>
  </si>
  <si>
    <t>Выполнено на 49,3%</t>
  </si>
  <si>
    <t>Выполнено на 3%</t>
  </si>
  <si>
    <t>Выполнено на 65,8%</t>
  </si>
  <si>
    <t>Выполнено на 57,3%</t>
  </si>
  <si>
    <t>Выполнено на 44,1%</t>
  </si>
  <si>
    <t>Выполнено на 75,4%</t>
  </si>
  <si>
    <t>Устройство тротуаров и парковочных мест вдоль автомобильных дорог местного значения</t>
  </si>
  <si>
    <t>Выполнено на 73,8%</t>
  </si>
  <si>
    <t>Обустройство искусственных дорожных неровностей</t>
  </si>
  <si>
    <t>Выполнено на 91,5%</t>
  </si>
  <si>
    <t>Установка пешеходных ограждений</t>
  </si>
  <si>
    <t>Выполнено на 99,3%</t>
  </si>
  <si>
    <t>Выполнено на 71%</t>
  </si>
  <si>
    <t xml:space="preserve">  Мероприятие 5.5.</t>
  </si>
  <si>
    <t xml:space="preserve">    Мероприятие 5.5.1.</t>
  </si>
  <si>
    <t xml:space="preserve">    Мероприятие 5.5.2.</t>
  </si>
  <si>
    <t xml:space="preserve">    Мероприятие 5.5.3.</t>
  </si>
  <si>
    <t xml:space="preserve">    Мероприятие 5.5.4.</t>
  </si>
  <si>
    <t xml:space="preserve">    Мероприятие 5.5.6.</t>
  </si>
  <si>
    <t xml:space="preserve">    Мероприятие 5.5.7.</t>
  </si>
  <si>
    <t xml:space="preserve">    Мероприятие 5.5.8.</t>
  </si>
  <si>
    <t xml:space="preserve">  Мероприятие 5.6.</t>
  </si>
  <si>
    <t xml:space="preserve">    Мероприятие 5.6.1.</t>
  </si>
  <si>
    <t xml:space="preserve">    Мероприятие 5.6.2.</t>
  </si>
  <si>
    <t xml:space="preserve">    Мероприятие 5.6.3.</t>
  </si>
  <si>
    <t xml:space="preserve">  Мероприятие 5.7.</t>
  </si>
  <si>
    <t>Выполнено на 67,6%</t>
  </si>
  <si>
    <t>Выполнено на 67,4%</t>
  </si>
  <si>
    <t>Выполнено на 69,1%</t>
  </si>
  <si>
    <t>Выполнено на 89,9%</t>
  </si>
  <si>
    <t>Выполнено на 71,7%</t>
  </si>
  <si>
    <t>Выполнено на 61,4%</t>
  </si>
  <si>
    <t>Выполнено на 38,5%</t>
  </si>
  <si>
    <t>Выполнено на 62%</t>
  </si>
  <si>
    <t>Выполнено на 24,3%</t>
  </si>
  <si>
    <t>Выполнено на 24,2%</t>
  </si>
  <si>
    <t>Выполнено на 40,3%</t>
  </si>
  <si>
    <t xml:space="preserve">Выполнено на 15,2%
</t>
  </si>
  <si>
    <t>Основное мероприятие D2.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</si>
  <si>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</si>
  <si>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Выполнено на 50%</t>
  </si>
  <si>
    <t>Выполнено на 62,9%</t>
  </si>
  <si>
    <t xml:space="preserve">  Мероприятие D2.1.</t>
  </si>
  <si>
    <t xml:space="preserve">  Мероприятие D6.1.</t>
  </si>
  <si>
    <t xml:space="preserve">  Мероприятие Е4.1.</t>
  </si>
  <si>
    <t xml:space="preserve">  Мероприятие Е4.2.</t>
  </si>
  <si>
    <t xml:space="preserve">  Мероприятие Е4.3.</t>
  </si>
  <si>
    <t xml:space="preserve">  Мероприятие Е4.4.</t>
  </si>
  <si>
    <t xml:space="preserve">  Мероприятие Е4.5.</t>
  </si>
  <si>
    <t xml:space="preserve">  Мероприятие Е4.6.</t>
  </si>
  <si>
    <t>Выполнено на 43,3%</t>
  </si>
  <si>
    <t>Выполнено на 47,9%</t>
  </si>
  <si>
    <t>Выполнено на 29,2%</t>
  </si>
  <si>
    <t>Выполнено на 77,6%</t>
  </si>
  <si>
    <t>Выполнено на 13,8%</t>
  </si>
  <si>
    <t>Выполнено на 56,4%</t>
  </si>
  <si>
    <t>Выполнено на 15,5%</t>
  </si>
  <si>
    <t>Благоустройство площади Администрации, расположенной по адресу: МО, г.о. Реутов ул. Ленина, 27</t>
  </si>
  <si>
    <t>Благоустройство "Центрального парка", ул. Южной и Юбилейного проспекта, городского округа Реутов</t>
  </si>
  <si>
    <t>Выполнено на 43,4%</t>
  </si>
  <si>
    <t>Выполнено на 54,6%</t>
  </si>
  <si>
    <t>Благоустройство "Центрального парка", улицы Южной и Юбилейного пр-та</t>
  </si>
  <si>
    <t>Реконструкция и Благоустройство ул. Парковая, ул. Ашхабадская и ул. Железнодорожная</t>
  </si>
  <si>
    <t>Выполнено на 9,2%</t>
  </si>
  <si>
    <t>Выполнение работ по ремонту дворовых территорий многоквартирных домов, проездов к дворовым территориям многоквартирных домов населенных пунктов</t>
  </si>
  <si>
    <t>Выполнено на 19,9%</t>
  </si>
  <si>
    <t>Выполнение работ по ямочному ремонту асфальтового покрытия дворовых территорий и внутриквартальных проездов</t>
  </si>
  <si>
    <t>Выполнено на 60,8%</t>
  </si>
  <si>
    <t>Выполнено на 60,3%</t>
  </si>
  <si>
    <t>Выполнено на 60,7%</t>
  </si>
  <si>
    <t>Выполнено на 9%</t>
  </si>
  <si>
    <t>Выполнено на 10,3%</t>
  </si>
  <si>
    <t>Создание благоприятных условий для проживания граждан в многоквартирных домах, расположенных на территории Московской области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</si>
  <si>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</si>
  <si>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Выполнено на 51,4%</t>
  </si>
  <si>
    <t xml:space="preserve">  Мероприятие 1.11.</t>
  </si>
  <si>
    <t xml:space="preserve">  Мероприятие 1.12.</t>
  </si>
  <si>
    <t xml:space="preserve">  Мероприятие 1.13.</t>
  </si>
  <si>
    <t xml:space="preserve">  Мероприятие 1.14.</t>
  </si>
  <si>
    <t xml:space="preserve">  Мероприятие 1.15</t>
  </si>
  <si>
    <t xml:space="preserve">    Мероприятие 1.15.1.</t>
  </si>
  <si>
    <t xml:space="preserve">    Мероприятие 1.15.2.</t>
  </si>
  <si>
    <t xml:space="preserve">    Мероприятие 1.15.3.</t>
  </si>
  <si>
    <t xml:space="preserve">    Мероприятие 1.15.4.</t>
  </si>
  <si>
    <t xml:space="preserve">    Мероприятие 1.15.5.</t>
  </si>
  <si>
    <t xml:space="preserve">    Мероприятие 1.15.6.</t>
  </si>
  <si>
    <t xml:space="preserve">    Мероприятие 1.15.7.</t>
  </si>
  <si>
    <t xml:space="preserve">    Мероприятие 1.15.8.</t>
  </si>
  <si>
    <t xml:space="preserve">    Мероприятие 1.15.9.</t>
  </si>
  <si>
    <t xml:space="preserve">    Мероприятие 1.15.10.</t>
  </si>
  <si>
    <t xml:space="preserve">    Мероприятие 1.15.11.</t>
  </si>
  <si>
    <t xml:space="preserve">    Мероприятие 1.15.12.</t>
  </si>
  <si>
    <t xml:space="preserve">    Мероприятие 1.15.13.</t>
  </si>
  <si>
    <t xml:space="preserve">  Мероприятие 1.16.</t>
  </si>
  <si>
    <t xml:space="preserve">  Мероприятие 1.17.</t>
  </si>
  <si>
    <t xml:space="preserve">  Мероприятие 1.18.</t>
  </si>
  <si>
    <t xml:space="preserve">  Мероприятие F2.1.</t>
  </si>
  <si>
    <t xml:space="preserve">  Мероприятие F2.2.</t>
  </si>
  <si>
    <t xml:space="preserve">  Мероприятие F2.3.</t>
  </si>
  <si>
    <t xml:space="preserve">    Мероприятие F2.3.1.</t>
  </si>
  <si>
    <t xml:space="preserve">    Мероприятие F2.3.2.</t>
  </si>
  <si>
    <t xml:space="preserve">  Мероприятие F2.4.</t>
  </si>
  <si>
    <t xml:space="preserve">  Мероприятие F2.5.</t>
  </si>
  <si>
    <t xml:space="preserve">  Мероприятие F2.6.</t>
  </si>
  <si>
    <t xml:space="preserve">  Мероприятие F2.7.</t>
  </si>
  <si>
    <t xml:space="preserve">  Мероприятие F2.8.</t>
  </si>
  <si>
    <t xml:space="preserve">    Мероприятие F2.8.1.</t>
  </si>
  <si>
    <t xml:space="preserve">    Мероприятие F2.8.2.</t>
  </si>
  <si>
    <t xml:space="preserve">  Мероприятие F2.9.</t>
  </si>
  <si>
    <t xml:space="preserve">  Мероприятие F2.10.</t>
  </si>
  <si>
    <t xml:space="preserve">  Мероприятие F2.11.</t>
  </si>
  <si>
    <t xml:space="preserve">  Мероприятие F2.12.</t>
  </si>
  <si>
    <t xml:space="preserve">  Мероприятие F2.13.</t>
  </si>
  <si>
    <t xml:space="preserve">  Мероприятие F2.14.</t>
  </si>
  <si>
    <t xml:space="preserve">  Мероприятие F2.15.</t>
  </si>
  <si>
    <t xml:space="preserve">  Мероприятие F2.16.</t>
  </si>
  <si>
    <t xml:space="preserve">  Мероприятие F2.17.</t>
  </si>
  <si>
    <t xml:space="preserve">  Мероприятие F2.18.</t>
  </si>
  <si>
    <t xml:space="preserve">  Мероприятие F2.19.</t>
  </si>
  <si>
    <t>Основное мероприятие Р5.</t>
  </si>
  <si>
    <t xml:space="preserve">  Мероприятие Е1.2.</t>
  </si>
  <si>
    <t xml:space="preserve">  Мероприятие Р5.1.</t>
  </si>
  <si>
    <t>Выполнено на 60,4%</t>
  </si>
  <si>
    <t>Выполнено на 90,2%</t>
  </si>
  <si>
    <t>Выполнено на 77,5%</t>
  </si>
  <si>
    <t>Выполнено на 69,7%</t>
  </si>
  <si>
    <t>Выполнено на 48%</t>
  </si>
  <si>
    <t xml:space="preserve">Выполнено на 0%
</t>
  </si>
  <si>
    <t xml:space="preserve">Выполнено на 62,5%
</t>
  </si>
  <si>
    <t>Выполнено на 62,5%</t>
  </si>
  <si>
    <t>Выполнено на 72,9%</t>
  </si>
  <si>
    <t>Основное мероприятие Е8.</t>
  </si>
  <si>
    <t>Выполнено на 52,2%</t>
  </si>
  <si>
    <t>Выполнено на 65,3%</t>
  </si>
  <si>
    <t>Выполнено на 10,6%</t>
  </si>
  <si>
    <t xml:space="preserve">  Мероприятие 7.2.</t>
  </si>
  <si>
    <t>ЗА 9 МЕСЯЦЕВ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</si>
</sst>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3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1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6" xfId="1" applyNumberFormat="1" applyFont="1" applyFill="1" applyBorder="1" applyAlignment="1" applyProtection="1">
      <alignment horizontal="center" vertical="top" wrapText="1"/>
      <protection locked="0"/>
    </xf>
    <xf numFmtId="3" fontId="6" fillId="0" borderId="8" xfId="1" applyNumberFormat="1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top"/>
      <protection locked="0"/>
    </xf>
    <xf numFmtId="0" fontId="8" fillId="2" borderId="2" xfId="0" applyNumberFormat="1" applyFont="1" applyFill="1" applyBorder="1" applyAlignment="1" applyProtection="1">
      <alignment horizontal="center" vertical="top"/>
      <protection locked="0"/>
    </xf>
    <xf numFmtId="0" fontId="9" fillId="2" borderId="9" xfId="0" applyNumberFormat="1" applyFont="1" applyFill="1" applyBorder="1" applyAlignment="1" applyProtection="1">
      <alignment horizontal="left" vertical="top" wrapText="1"/>
      <protection locked="0"/>
    </xf>
    <xf numFmtId="0" fontId="9" fillId="2" borderId="10" xfId="0" applyNumberFormat="1" applyFont="1" applyFill="1" applyBorder="1" applyAlignment="1" applyProtection="1">
      <alignment horizontal="left" vertical="top" wrapText="1"/>
      <protection locked="0"/>
    </xf>
    <xf numFmtId="164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2" xfId="0" applyNumberFormat="1" applyFont="1" applyFill="1" applyBorder="1" applyAlignment="1" applyProtection="1">
      <alignment horizontal="center" vertical="top"/>
      <protection locked="0"/>
    </xf>
    <xf numFmtId="0" fontId="8" fillId="2" borderId="13" xfId="0" applyNumberFormat="1" applyFont="1" applyFill="1" applyBorder="1" applyAlignment="1" applyProtection="1">
      <alignment horizontal="center" vertical="top"/>
      <protection locked="0"/>
    </xf>
    <xf numFmtId="0" fontId="6" fillId="2" borderId="14" xfId="0" applyNumberFormat="1" applyFont="1" applyFill="1" applyBorder="1" applyAlignment="1" applyProtection="1">
      <alignment horizontal="left" vertical="top" wrapText="1"/>
      <protection locked="0"/>
    </xf>
    <xf numFmtId="0" fontId="6" fillId="2" borderId="15" xfId="0" applyNumberFormat="1" applyFont="1" applyFill="1" applyBorder="1" applyAlignment="1" applyProtection="1">
      <alignment horizontal="left" vertical="top" wrapText="1"/>
      <protection locked="0"/>
    </xf>
    <xf numFmtId="164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4" xfId="0" applyNumberFormat="1" applyFont="1" applyFill="1" applyBorder="1" applyAlignment="1" applyProtection="1">
      <alignment horizontal="left" vertical="top" wrapText="1"/>
      <protection locked="0"/>
    </xf>
    <xf numFmtId="0" fontId="9" fillId="2" borderId="15" xfId="0" applyNumberFormat="1" applyFont="1" applyFill="1" applyBorder="1" applyAlignment="1" applyProtection="1">
      <alignment horizontal="left" vertical="top" wrapText="1"/>
      <protection locked="0"/>
    </xf>
    <xf numFmtId="164" fontId="9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15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7" xfId="0" applyNumberFormat="1" applyFont="1" applyFill="1" applyBorder="1" applyAlignment="1" applyProtection="1">
      <alignment horizontal="right" vertical="center"/>
      <protection locked="0"/>
    </xf>
    <xf numFmtId="0" fontId="8" fillId="2" borderId="18" xfId="0" applyNumberFormat="1" applyFont="1" applyFill="1" applyBorder="1" applyAlignment="1" applyProtection="1">
      <alignment horizontal="right" vertical="center"/>
      <protection locked="0"/>
    </xf>
    <xf numFmtId="0" fontId="8" fillId="2" borderId="19" xfId="0" applyNumberFormat="1" applyFont="1" applyFill="1" applyBorder="1" applyAlignment="1" applyProtection="1">
      <alignment horizontal="right" vertical="center"/>
      <protection locked="0"/>
    </xf>
    <xf numFmtId="164" fontId="8" fillId="2" borderId="20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20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>
      <alignment horizontal="center" vertical="top"/>
    </xf>
    <xf numFmtId="0" fontId="10" fillId="2" borderId="23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left" vertical="top" wrapText="1"/>
    </xf>
    <xf numFmtId="164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top"/>
    </xf>
    <xf numFmtId="0" fontId="10" fillId="2" borderId="25" xfId="0" applyFont="1" applyFill="1" applyBorder="1" applyAlignment="1">
      <alignment horizontal="center" vertical="top"/>
    </xf>
    <xf numFmtId="0" fontId="4" fillId="2" borderId="13" xfId="0" applyFont="1" applyFill="1" applyBorder="1" applyAlignment="1">
      <alignment horizontal="left" vertical="top"/>
    </xf>
    <xf numFmtId="164" fontId="4" fillId="2" borderId="13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4" fillId="2" borderId="26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left" vertical="top"/>
    </xf>
    <xf numFmtId="164" fontId="11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164" fontId="11" fillId="2" borderId="26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top"/>
    </xf>
    <xf numFmtId="0" fontId="10" fillId="2" borderId="28" xfId="0" applyFont="1" applyFill="1" applyBorder="1" applyAlignment="1">
      <alignment horizontal="center" vertical="top"/>
    </xf>
    <xf numFmtId="0" fontId="10" fillId="2" borderId="29" xfId="0" applyFont="1" applyFill="1" applyBorder="1" applyAlignment="1">
      <alignment horizontal="right" vertical="center"/>
    </xf>
    <xf numFmtId="0" fontId="10" fillId="2" borderId="30" xfId="0" applyFont="1" applyFill="1" applyBorder="1" applyAlignment="1">
      <alignment horizontal="right" vertical="center"/>
    </xf>
    <xf numFmtId="0" fontId="10" fillId="2" borderId="31" xfId="0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164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top"/>
    </xf>
    <xf numFmtId="0" fontId="10" fillId="2" borderId="13" xfId="0" applyFont="1" applyFill="1" applyBorder="1" applyAlignment="1">
      <alignment horizontal="center" vertical="top"/>
    </xf>
    <xf numFmtId="164" fontId="4" fillId="2" borderId="13" xfId="0" applyNumberFormat="1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164" fontId="11" fillId="2" borderId="13" xfId="0" applyNumberFormat="1" applyFont="1" applyFill="1" applyBorder="1" applyAlignment="1">
      <alignment horizontal="center" vertical="center" wrapText="1"/>
    </xf>
    <xf numFmtId="164" fontId="11" fillId="2" borderId="26" xfId="0" applyNumberFormat="1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right" vertical="center"/>
    </xf>
    <xf numFmtId="0" fontId="12" fillId="2" borderId="30" xfId="0" applyFont="1" applyFill="1" applyBorder="1" applyAlignment="1">
      <alignment horizontal="right" vertical="center"/>
    </xf>
    <xf numFmtId="0" fontId="12" fillId="2" borderId="31" xfId="0" applyFont="1" applyFill="1" applyBorder="1" applyAlignment="1">
      <alignment horizontal="right" vertical="center"/>
    </xf>
    <xf numFmtId="164" fontId="12" fillId="2" borderId="6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164" fontId="12" fillId="2" borderId="8" xfId="0" applyNumberFormat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top" wrapText="1"/>
    </xf>
    <xf numFmtId="0" fontId="10" fillId="2" borderId="25" xfId="0" applyFont="1" applyFill="1" applyBorder="1" applyAlignment="1">
      <alignment horizontal="center" vertical="top" wrapText="1"/>
    </xf>
    <xf numFmtId="0" fontId="10" fillId="2" borderId="28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top" wrapText="1"/>
    </xf>
    <xf numFmtId="0" fontId="10" fillId="2" borderId="24" xfId="0" applyFont="1" applyFill="1" applyBorder="1" applyAlignment="1">
      <alignment horizontal="center" vertical="top" wrapText="1"/>
    </xf>
    <xf numFmtId="0" fontId="10" fillId="2" borderId="27" xfId="0" applyFont="1" applyFill="1" applyBorder="1" applyAlignment="1">
      <alignment horizontal="center" vertical="top" wrapText="1"/>
    </xf>
    <xf numFmtId="0" fontId="10" fillId="2" borderId="29" xfId="0" applyFont="1" applyFill="1" applyBorder="1" applyAlignment="1">
      <alignment horizontal="right" vertical="center" wrapText="1"/>
    </xf>
    <xf numFmtId="0" fontId="10" fillId="2" borderId="30" xfId="0" applyFont="1" applyFill="1" applyBorder="1" applyAlignment="1">
      <alignment horizontal="right" vertical="center" wrapText="1"/>
    </xf>
    <xf numFmtId="0" fontId="10" fillId="2" borderId="31" xfId="0" applyFont="1" applyFill="1" applyBorder="1" applyAlignment="1">
      <alignment horizontal="right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center" wrapText="1"/>
    </xf>
    <xf numFmtId="4" fontId="4" fillId="2" borderId="13" xfId="0" applyNumberFormat="1" applyFont="1" applyFill="1" applyBorder="1" applyAlignment="1">
      <alignment horizontal="center" vertical="center" wrapText="1"/>
    </xf>
    <xf numFmtId="2" fontId="4" fillId="2" borderId="26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2" fontId="11" fillId="2" borderId="26" xfId="0" applyNumberFormat="1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2" fontId="10" fillId="2" borderId="8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11" fillId="2" borderId="13" xfId="0" applyNumberFormat="1" applyFont="1" applyFill="1" applyBorder="1" applyAlignment="1">
      <alignment horizontal="center" vertical="center" wrapText="1"/>
    </xf>
    <xf numFmtId="2" fontId="10" fillId="2" borderId="6" xfId="0" applyNumberFormat="1" applyFont="1" applyFill="1" applyBorder="1" applyAlignment="1">
      <alignment horizontal="center" vertical="center" wrapText="1"/>
    </xf>
    <xf numFmtId="2" fontId="10" fillId="2" borderId="6" xfId="0" applyNumberFormat="1" applyFont="1" applyFill="1" applyBorder="1" applyAlignment="1">
      <alignment horizontal="center" vertical="center"/>
    </xf>
    <xf numFmtId="2" fontId="10" fillId="2" borderId="8" xfId="0" applyNumberFormat="1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right" vertical="center" wrapText="1"/>
    </xf>
    <xf numFmtId="0" fontId="12" fillId="2" borderId="30" xfId="0" applyFont="1" applyFill="1" applyBorder="1" applyAlignment="1">
      <alignment horizontal="right" vertical="center" wrapText="1"/>
    </xf>
    <xf numFmtId="0" fontId="12" fillId="2" borderId="31" xfId="0" applyFont="1" applyFill="1" applyBorder="1" applyAlignment="1">
      <alignment horizontal="right" vertical="center" wrapText="1"/>
    </xf>
    <xf numFmtId="2" fontId="12" fillId="2" borderId="6" xfId="0" applyNumberFormat="1" applyFont="1" applyFill="1" applyBorder="1" applyAlignment="1">
      <alignment horizontal="center" vertical="center" wrapText="1"/>
    </xf>
    <xf numFmtId="2" fontId="12" fillId="2" borderId="8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8"/>
  <sheetViews>
    <sheetView tabSelected="1" zoomScale="70" zoomScaleNormal="70" workbookViewId="0">
      <selection activeCell="J14" sqref="J14"/>
    </sheetView>
  </sheetViews>
  <sheetFormatPr defaultRowHeight="15" x14ac:dyDescent="0.25"/>
  <cols>
    <col min="2" max="2" width="17.140625" customWidth="1"/>
    <col min="3" max="3" width="24.7109375" customWidth="1"/>
    <col min="4" max="4" width="52.7109375" customWidth="1"/>
    <col min="5" max="6" width="15.7109375" customWidth="1"/>
    <col min="7" max="7" width="23.42578125" customWidth="1"/>
    <col min="8" max="8" width="15" customWidth="1"/>
  </cols>
  <sheetData>
    <row r="1" spans="1:8" x14ac:dyDescent="0.25">
      <c r="A1" s="16" t="s">
        <v>0</v>
      </c>
      <c r="B1" s="16"/>
      <c r="C1" s="16"/>
      <c r="D1" s="16"/>
      <c r="E1" s="16"/>
      <c r="F1" s="16"/>
      <c r="G1" s="16"/>
      <c r="H1" s="16"/>
    </row>
    <row r="2" spans="1:8" x14ac:dyDescent="0.25">
      <c r="A2" s="16" t="s">
        <v>1</v>
      </c>
      <c r="B2" s="16"/>
      <c r="C2" s="16"/>
      <c r="D2" s="16"/>
      <c r="E2" s="16"/>
      <c r="F2" s="16"/>
      <c r="G2" s="16"/>
      <c r="H2" s="16"/>
    </row>
    <row r="3" spans="1:8" x14ac:dyDescent="0.25">
      <c r="A3" s="16" t="s">
        <v>931</v>
      </c>
      <c r="B3" s="16"/>
      <c r="C3" s="16"/>
      <c r="D3" s="16"/>
      <c r="E3" s="16"/>
      <c r="F3" s="16"/>
      <c r="G3" s="16"/>
      <c r="H3" s="16"/>
    </row>
    <row r="4" spans="1:8" ht="13.5" customHeight="1" thickBot="1" x14ac:dyDescent="0.3"/>
    <row r="5" spans="1:8" ht="15.75" hidden="1" thickBot="1" x14ac:dyDescent="0.3"/>
    <row r="6" spans="1:8" ht="60" x14ac:dyDescent="0.25">
      <c r="A6" s="1" t="s">
        <v>2</v>
      </c>
      <c r="B6" s="2" t="s">
        <v>3</v>
      </c>
      <c r="C6" s="2" t="s">
        <v>4</v>
      </c>
      <c r="D6" s="3" t="s">
        <v>5</v>
      </c>
      <c r="E6" s="2" t="s">
        <v>6</v>
      </c>
      <c r="F6" s="2" t="s">
        <v>7</v>
      </c>
      <c r="G6" s="4" t="s">
        <v>8</v>
      </c>
      <c r="H6" s="5" t="s">
        <v>9</v>
      </c>
    </row>
    <row r="7" spans="1:8" ht="15.75" thickBot="1" x14ac:dyDescent="0.3">
      <c r="A7" s="6">
        <v>1</v>
      </c>
      <c r="B7" s="7">
        <v>2</v>
      </c>
      <c r="C7" s="8">
        <v>3</v>
      </c>
      <c r="D7" s="9">
        <v>4</v>
      </c>
      <c r="E7" s="10">
        <v>5</v>
      </c>
      <c r="F7" s="10">
        <v>6</v>
      </c>
      <c r="G7" s="10">
        <v>7</v>
      </c>
      <c r="H7" s="11">
        <v>8</v>
      </c>
    </row>
    <row r="8" spans="1:8" ht="24" x14ac:dyDescent="0.25">
      <c r="A8" s="17">
        <v>1</v>
      </c>
      <c r="B8" s="18" t="s">
        <v>10</v>
      </c>
      <c r="C8" s="19" t="s">
        <v>11</v>
      </c>
      <c r="D8" s="20" t="s">
        <v>12</v>
      </c>
      <c r="E8" s="21">
        <f>E9</f>
        <v>0</v>
      </c>
      <c r="F8" s="21">
        <f>F9</f>
        <v>0</v>
      </c>
      <c r="G8" s="22" t="s">
        <v>13</v>
      </c>
      <c r="H8" s="23">
        <f>H9</f>
        <v>0</v>
      </c>
    </row>
    <row r="9" spans="1:8" ht="48" x14ac:dyDescent="0.25">
      <c r="A9" s="24"/>
      <c r="B9" s="25"/>
      <c r="C9" s="26" t="s">
        <v>14</v>
      </c>
      <c r="D9" s="27" t="s">
        <v>15</v>
      </c>
      <c r="E9" s="28">
        <f>E10</f>
        <v>0</v>
      </c>
      <c r="F9" s="28">
        <f>F10</f>
        <v>0</v>
      </c>
      <c r="G9" s="29" t="s">
        <v>13</v>
      </c>
      <c r="H9" s="30">
        <f>H10</f>
        <v>0</v>
      </c>
    </row>
    <row r="10" spans="1:8" ht="24" x14ac:dyDescent="0.25">
      <c r="A10" s="24"/>
      <c r="B10" s="25"/>
      <c r="C10" s="26" t="s">
        <v>617</v>
      </c>
      <c r="D10" s="27" t="s">
        <v>16</v>
      </c>
      <c r="E10" s="28">
        <f>0</f>
        <v>0</v>
      </c>
      <c r="F10" s="28">
        <f>0</f>
        <v>0</v>
      </c>
      <c r="G10" s="29" t="s">
        <v>13</v>
      </c>
      <c r="H10" s="30">
        <v>0</v>
      </c>
    </row>
    <row r="11" spans="1:8" ht="24" x14ac:dyDescent="0.25">
      <c r="A11" s="24"/>
      <c r="B11" s="25"/>
      <c r="C11" s="31" t="s">
        <v>17</v>
      </c>
      <c r="D11" s="32" t="s">
        <v>18</v>
      </c>
      <c r="E11" s="33">
        <f>E12</f>
        <v>1800</v>
      </c>
      <c r="F11" s="33">
        <f>F12</f>
        <v>1180</v>
      </c>
      <c r="G11" s="34" t="s">
        <v>605</v>
      </c>
      <c r="H11" s="35">
        <f>H12</f>
        <v>1180</v>
      </c>
    </row>
    <row r="12" spans="1:8" x14ac:dyDescent="0.25">
      <c r="A12" s="24"/>
      <c r="B12" s="25"/>
      <c r="C12" s="26" t="s">
        <v>14</v>
      </c>
      <c r="D12" s="27" t="s">
        <v>19</v>
      </c>
      <c r="E12" s="28">
        <f>E13+E14</f>
        <v>1800</v>
      </c>
      <c r="F12" s="28">
        <f>F13+F14</f>
        <v>1180</v>
      </c>
      <c r="G12" s="29" t="s">
        <v>605</v>
      </c>
      <c r="H12" s="30">
        <f>H13+H14</f>
        <v>1180</v>
      </c>
    </row>
    <row r="13" spans="1:8" ht="24" x14ac:dyDescent="0.25">
      <c r="A13" s="24"/>
      <c r="B13" s="25"/>
      <c r="C13" s="26" t="s">
        <v>617</v>
      </c>
      <c r="D13" s="27" t="s">
        <v>20</v>
      </c>
      <c r="E13" s="28">
        <f>0</f>
        <v>0</v>
      </c>
      <c r="F13" s="28">
        <f>0</f>
        <v>0</v>
      </c>
      <c r="G13" s="29" t="s">
        <v>13</v>
      </c>
      <c r="H13" s="30">
        <v>0</v>
      </c>
    </row>
    <row r="14" spans="1:8" ht="36" x14ac:dyDescent="0.25">
      <c r="A14" s="24"/>
      <c r="B14" s="25"/>
      <c r="C14" s="26" t="s">
        <v>618</v>
      </c>
      <c r="D14" s="27" t="s">
        <v>21</v>
      </c>
      <c r="E14" s="28">
        <f>1800</f>
        <v>1800</v>
      </c>
      <c r="F14" s="28">
        <f>1180</f>
        <v>1180</v>
      </c>
      <c r="G14" s="29" t="s">
        <v>605</v>
      </c>
      <c r="H14" s="30">
        <v>1180</v>
      </c>
    </row>
    <row r="15" spans="1:8" ht="20.100000000000001" customHeight="1" thickBot="1" x14ac:dyDescent="0.3">
      <c r="A15" s="36" t="s">
        <v>22</v>
      </c>
      <c r="B15" s="37"/>
      <c r="C15" s="37"/>
      <c r="D15" s="38"/>
      <c r="E15" s="39">
        <f>E8+E11</f>
        <v>1800</v>
      </c>
      <c r="F15" s="39">
        <f>F8+F11</f>
        <v>1180</v>
      </c>
      <c r="G15" s="40" t="s">
        <v>605</v>
      </c>
      <c r="H15" s="41">
        <f>H8+H11</f>
        <v>1180</v>
      </c>
    </row>
    <row r="16" spans="1:8" ht="24" x14ac:dyDescent="0.25">
      <c r="A16" s="42">
        <v>2</v>
      </c>
      <c r="B16" s="43" t="s">
        <v>23</v>
      </c>
      <c r="C16" s="44" t="s">
        <v>24</v>
      </c>
      <c r="D16" s="45" t="s">
        <v>25</v>
      </c>
      <c r="E16" s="46">
        <f>E17</f>
        <v>10875.4</v>
      </c>
      <c r="F16" s="46">
        <f>F17</f>
        <v>7502.35</v>
      </c>
      <c r="G16" s="47" t="s">
        <v>606</v>
      </c>
      <c r="H16" s="48">
        <f>H17</f>
        <v>7502.35</v>
      </c>
    </row>
    <row r="17" spans="1:8" x14ac:dyDescent="0.25">
      <c r="A17" s="49"/>
      <c r="B17" s="50"/>
      <c r="C17" s="51" t="s">
        <v>26</v>
      </c>
      <c r="D17" s="12" t="s">
        <v>27</v>
      </c>
      <c r="E17" s="52">
        <f>E18+E19</f>
        <v>10875.4</v>
      </c>
      <c r="F17" s="52">
        <f>F18+F19</f>
        <v>7502.35</v>
      </c>
      <c r="G17" s="53" t="s">
        <v>607</v>
      </c>
      <c r="H17" s="54">
        <f>H18+H19</f>
        <v>7502.35</v>
      </c>
    </row>
    <row r="18" spans="1:8" ht="24" x14ac:dyDescent="0.25">
      <c r="A18" s="49"/>
      <c r="B18" s="50"/>
      <c r="C18" s="51" t="s">
        <v>619</v>
      </c>
      <c r="D18" s="12" t="s">
        <v>28</v>
      </c>
      <c r="E18" s="52">
        <f>10875.4</f>
        <v>10875.4</v>
      </c>
      <c r="F18" s="52">
        <f>7502.35</f>
        <v>7502.35</v>
      </c>
      <c r="G18" s="53" t="s">
        <v>607</v>
      </c>
      <c r="H18" s="54">
        <f>7502.35</f>
        <v>7502.35</v>
      </c>
    </row>
    <row r="19" spans="1:8" ht="24" x14ac:dyDescent="0.25">
      <c r="A19" s="49"/>
      <c r="B19" s="50"/>
      <c r="C19" s="51" t="s">
        <v>620</v>
      </c>
      <c r="D19" s="12" t="s">
        <v>29</v>
      </c>
      <c r="E19" s="52">
        <f>0</f>
        <v>0</v>
      </c>
      <c r="F19" s="52">
        <f>0</f>
        <v>0</v>
      </c>
      <c r="G19" s="55" t="s">
        <v>13</v>
      </c>
      <c r="H19" s="54">
        <f>0</f>
        <v>0</v>
      </c>
    </row>
    <row r="20" spans="1:8" x14ac:dyDescent="0.25">
      <c r="A20" s="49"/>
      <c r="B20" s="50"/>
      <c r="C20" s="56" t="s">
        <v>30</v>
      </c>
      <c r="D20" s="13" t="s">
        <v>31</v>
      </c>
      <c r="E20" s="57">
        <f>E21</f>
        <v>31866.29</v>
      </c>
      <c r="F20" s="57">
        <f>F21</f>
        <v>21135.179999999997</v>
      </c>
      <c r="G20" s="58" t="s">
        <v>608</v>
      </c>
      <c r="H20" s="59">
        <f>H21</f>
        <v>21135.179999999997</v>
      </c>
    </row>
    <row r="21" spans="1:8" ht="24" x14ac:dyDescent="0.25">
      <c r="A21" s="49"/>
      <c r="B21" s="50"/>
      <c r="C21" s="51" t="s">
        <v>26</v>
      </c>
      <c r="D21" s="12" t="s">
        <v>32</v>
      </c>
      <c r="E21" s="52">
        <f>SUM(E22:E25)</f>
        <v>31866.29</v>
      </c>
      <c r="F21" s="52">
        <f>SUM(F22:F25)</f>
        <v>21135.179999999997</v>
      </c>
      <c r="G21" s="55" t="s">
        <v>609</v>
      </c>
      <c r="H21" s="54">
        <f>SUM(H22:H25)</f>
        <v>21135.179999999997</v>
      </c>
    </row>
    <row r="22" spans="1:8" ht="24" x14ac:dyDescent="0.25">
      <c r="A22" s="49"/>
      <c r="B22" s="50"/>
      <c r="C22" s="51" t="s">
        <v>620</v>
      </c>
      <c r="D22" s="12" t="s">
        <v>33</v>
      </c>
      <c r="E22" s="52">
        <f>31724.09</f>
        <v>31724.09</v>
      </c>
      <c r="F22" s="52">
        <f>21090.92</f>
        <v>21090.92</v>
      </c>
      <c r="G22" s="53" t="s">
        <v>610</v>
      </c>
      <c r="H22" s="54">
        <v>21090.92</v>
      </c>
    </row>
    <row r="23" spans="1:8" ht="24" x14ac:dyDescent="0.25">
      <c r="A23" s="49"/>
      <c r="B23" s="50"/>
      <c r="C23" s="51" t="s">
        <v>621</v>
      </c>
      <c r="D23" s="12" t="s">
        <v>34</v>
      </c>
      <c r="E23" s="52">
        <f>0</f>
        <v>0</v>
      </c>
      <c r="F23" s="52">
        <f>0</f>
        <v>0</v>
      </c>
      <c r="G23" s="55" t="s">
        <v>13</v>
      </c>
      <c r="H23" s="54">
        <v>0</v>
      </c>
    </row>
    <row r="24" spans="1:8" x14ac:dyDescent="0.25">
      <c r="A24" s="49"/>
      <c r="B24" s="50"/>
      <c r="C24" s="51" t="s">
        <v>622</v>
      </c>
      <c r="D24" s="12" t="s">
        <v>35</v>
      </c>
      <c r="E24" s="52">
        <f>142.2</f>
        <v>142.19999999999999</v>
      </c>
      <c r="F24" s="52">
        <f>44.26</f>
        <v>44.26</v>
      </c>
      <c r="G24" s="53" t="s">
        <v>611</v>
      </c>
      <c r="H24" s="54">
        <v>44.26</v>
      </c>
    </row>
    <row r="25" spans="1:8" ht="36" x14ac:dyDescent="0.25">
      <c r="A25" s="49"/>
      <c r="B25" s="50"/>
      <c r="C25" s="51" t="s">
        <v>623</v>
      </c>
      <c r="D25" s="12" t="s">
        <v>36</v>
      </c>
      <c r="E25" s="52">
        <f>0</f>
        <v>0</v>
      </c>
      <c r="F25" s="52">
        <f>0</f>
        <v>0</v>
      </c>
      <c r="G25" s="55" t="s">
        <v>13</v>
      </c>
      <c r="H25" s="54">
        <v>0</v>
      </c>
    </row>
    <row r="26" spans="1:8" ht="36" x14ac:dyDescent="0.25">
      <c r="A26" s="49"/>
      <c r="B26" s="50"/>
      <c r="C26" s="56" t="s">
        <v>37</v>
      </c>
      <c r="D26" s="13" t="s">
        <v>38</v>
      </c>
      <c r="E26" s="57">
        <f>E27</f>
        <v>90570.299999999988</v>
      </c>
      <c r="F26" s="57">
        <f>F27</f>
        <v>56217.899999999994</v>
      </c>
      <c r="G26" s="58" t="s">
        <v>612</v>
      </c>
      <c r="H26" s="59">
        <f>H27</f>
        <v>56217.899999999994</v>
      </c>
    </row>
    <row r="27" spans="1:8" x14ac:dyDescent="0.25">
      <c r="A27" s="49"/>
      <c r="B27" s="50"/>
      <c r="C27" s="51" t="s">
        <v>39</v>
      </c>
      <c r="D27" s="12" t="s">
        <v>40</v>
      </c>
      <c r="E27" s="52">
        <f>E28+E29+E30</f>
        <v>90570.299999999988</v>
      </c>
      <c r="F27" s="52">
        <f>F28+F29+F30</f>
        <v>56217.899999999994</v>
      </c>
      <c r="G27" s="53" t="s">
        <v>612</v>
      </c>
      <c r="H27" s="54">
        <f>H28+H29+H30</f>
        <v>56217.899999999994</v>
      </c>
    </row>
    <row r="28" spans="1:8" ht="24" x14ac:dyDescent="0.25">
      <c r="A28" s="49"/>
      <c r="B28" s="50"/>
      <c r="C28" s="51" t="s">
        <v>624</v>
      </c>
      <c r="D28" s="12" t="s">
        <v>41</v>
      </c>
      <c r="E28" s="52">
        <f>47088.53</f>
        <v>47088.53</v>
      </c>
      <c r="F28" s="52">
        <f>30911.35</f>
        <v>30911.35</v>
      </c>
      <c r="G28" s="53" t="s">
        <v>605</v>
      </c>
      <c r="H28" s="54">
        <f>30911.35</f>
        <v>30911.35</v>
      </c>
    </row>
    <row r="29" spans="1:8" ht="24" x14ac:dyDescent="0.25">
      <c r="A29" s="49"/>
      <c r="B29" s="50"/>
      <c r="C29" s="51" t="s">
        <v>625</v>
      </c>
      <c r="D29" s="12" t="s">
        <v>42</v>
      </c>
      <c r="E29" s="52">
        <f>0</f>
        <v>0</v>
      </c>
      <c r="F29" s="52">
        <f>0</f>
        <v>0</v>
      </c>
      <c r="G29" s="55" t="s">
        <v>13</v>
      </c>
      <c r="H29" s="54">
        <f>0</f>
        <v>0</v>
      </c>
    </row>
    <row r="30" spans="1:8" x14ac:dyDescent="0.25">
      <c r="A30" s="49"/>
      <c r="B30" s="50"/>
      <c r="C30" s="51" t="s">
        <v>626</v>
      </c>
      <c r="D30" s="12" t="s">
        <v>43</v>
      </c>
      <c r="E30" s="52">
        <f>43481.77</f>
        <v>43481.77</v>
      </c>
      <c r="F30" s="52">
        <f>25306.55</f>
        <v>25306.55</v>
      </c>
      <c r="G30" s="53" t="s">
        <v>613</v>
      </c>
      <c r="H30" s="54">
        <f>25306.55</f>
        <v>25306.55</v>
      </c>
    </row>
    <row r="31" spans="1:8" x14ac:dyDescent="0.25">
      <c r="A31" s="49"/>
      <c r="B31" s="50"/>
      <c r="C31" s="56" t="s">
        <v>44</v>
      </c>
      <c r="D31" s="13" t="s">
        <v>45</v>
      </c>
      <c r="E31" s="57">
        <f>E32</f>
        <v>2460</v>
      </c>
      <c r="F31" s="57">
        <f>F32</f>
        <v>1959.27</v>
      </c>
      <c r="G31" s="58" t="s">
        <v>614</v>
      </c>
      <c r="H31" s="59">
        <f>H32</f>
        <v>1959.27</v>
      </c>
    </row>
    <row r="32" spans="1:8" ht="36" x14ac:dyDescent="0.25">
      <c r="A32" s="49"/>
      <c r="B32" s="50"/>
      <c r="C32" s="51" t="s">
        <v>46</v>
      </c>
      <c r="D32" s="12" t="s">
        <v>47</v>
      </c>
      <c r="E32" s="52">
        <f>E33</f>
        <v>2460</v>
      </c>
      <c r="F32" s="52">
        <f>F33</f>
        <v>1959.27</v>
      </c>
      <c r="G32" s="55" t="s">
        <v>614</v>
      </c>
      <c r="H32" s="54">
        <f>H33</f>
        <v>1959.27</v>
      </c>
    </row>
    <row r="33" spans="1:8" ht="48" x14ac:dyDescent="0.25">
      <c r="A33" s="49"/>
      <c r="B33" s="50"/>
      <c r="C33" s="51" t="s">
        <v>627</v>
      </c>
      <c r="D33" s="12" t="s">
        <v>48</v>
      </c>
      <c r="E33" s="52">
        <f>2460</f>
        <v>2460</v>
      </c>
      <c r="F33" s="52">
        <f>1959.27</f>
        <v>1959.27</v>
      </c>
      <c r="G33" s="55" t="s">
        <v>614</v>
      </c>
      <c r="H33" s="54">
        <f>1959.27</f>
        <v>1959.27</v>
      </c>
    </row>
    <row r="34" spans="1:8" x14ac:dyDescent="0.25">
      <c r="A34" s="49"/>
      <c r="B34" s="50"/>
      <c r="C34" s="56" t="s">
        <v>49</v>
      </c>
      <c r="D34" s="13" t="s">
        <v>50</v>
      </c>
      <c r="E34" s="57">
        <f>E35</f>
        <v>5857.07</v>
      </c>
      <c r="F34" s="57">
        <f>F35</f>
        <v>3266.41</v>
      </c>
      <c r="G34" s="58" t="s">
        <v>615</v>
      </c>
      <c r="H34" s="59">
        <f>H35</f>
        <v>3266.41</v>
      </c>
    </row>
    <row r="35" spans="1:8" ht="24" x14ac:dyDescent="0.25">
      <c r="A35" s="49"/>
      <c r="B35" s="50"/>
      <c r="C35" s="51" t="s">
        <v>26</v>
      </c>
      <c r="D35" s="12" t="s">
        <v>51</v>
      </c>
      <c r="E35" s="52">
        <f>E36</f>
        <v>5857.07</v>
      </c>
      <c r="F35" s="52">
        <f>F36</f>
        <v>3266.41</v>
      </c>
      <c r="G35" s="53" t="s">
        <v>129</v>
      </c>
      <c r="H35" s="54">
        <f>H36</f>
        <v>3266.41</v>
      </c>
    </row>
    <row r="36" spans="1:8" ht="24" x14ac:dyDescent="0.25">
      <c r="A36" s="49"/>
      <c r="B36" s="50"/>
      <c r="C36" s="51" t="s">
        <v>619</v>
      </c>
      <c r="D36" s="12" t="s">
        <v>52</v>
      </c>
      <c r="E36" s="52">
        <f>5857.07</f>
        <v>5857.07</v>
      </c>
      <c r="F36" s="52">
        <f>3266.41</f>
        <v>3266.41</v>
      </c>
      <c r="G36" s="53" t="s">
        <v>129</v>
      </c>
      <c r="H36" s="54">
        <f>3266.41</f>
        <v>3266.41</v>
      </c>
    </row>
    <row r="37" spans="1:8" ht="24" x14ac:dyDescent="0.25">
      <c r="A37" s="49"/>
      <c r="B37" s="50"/>
      <c r="C37" s="56" t="s">
        <v>53</v>
      </c>
      <c r="D37" s="13" t="s">
        <v>54</v>
      </c>
      <c r="E37" s="57">
        <f>E38</f>
        <v>0</v>
      </c>
      <c r="F37" s="57">
        <f>F38</f>
        <v>0</v>
      </c>
      <c r="G37" s="60" t="s">
        <v>13</v>
      </c>
      <c r="H37" s="59">
        <f>H38</f>
        <v>0</v>
      </c>
    </row>
    <row r="38" spans="1:8" ht="24" x14ac:dyDescent="0.25">
      <c r="A38" s="61"/>
      <c r="B38" s="62"/>
      <c r="C38" s="51" t="s">
        <v>26</v>
      </c>
      <c r="D38" s="12" t="s">
        <v>55</v>
      </c>
      <c r="E38" s="52">
        <f>0</f>
        <v>0</v>
      </c>
      <c r="F38" s="52">
        <f>0</f>
        <v>0</v>
      </c>
      <c r="G38" s="55" t="s">
        <v>13</v>
      </c>
      <c r="H38" s="54">
        <f>0</f>
        <v>0</v>
      </c>
    </row>
    <row r="39" spans="1:8" ht="30" customHeight="1" thickBot="1" x14ac:dyDescent="0.3">
      <c r="A39" s="63" t="s">
        <v>22</v>
      </c>
      <c r="B39" s="64"/>
      <c r="C39" s="64"/>
      <c r="D39" s="65"/>
      <c r="E39" s="66">
        <f>E16+E20+E26+E31+E34+E37</f>
        <v>141629.06</v>
      </c>
      <c r="F39" s="66">
        <f>F16+F20+F26+F31+F34+F37</f>
        <v>90081.11</v>
      </c>
      <c r="G39" s="67" t="s">
        <v>616</v>
      </c>
      <c r="H39" s="68">
        <f>H16+H20+H26+H31+H34+H37</f>
        <v>90081.11</v>
      </c>
    </row>
    <row r="40" spans="1:8" x14ac:dyDescent="0.25">
      <c r="A40" s="69">
        <v>3</v>
      </c>
      <c r="B40" s="70" t="s">
        <v>56</v>
      </c>
      <c r="C40" s="45" t="s">
        <v>11</v>
      </c>
      <c r="D40" s="45" t="s">
        <v>57</v>
      </c>
      <c r="E40" s="71">
        <f>E41+E46+E49</f>
        <v>905979.17</v>
      </c>
      <c r="F40" s="71">
        <f>F41+F46+F49</f>
        <v>516527.50999999995</v>
      </c>
      <c r="G40" s="72" t="s">
        <v>628</v>
      </c>
      <c r="H40" s="73">
        <f>H41+H46+H49</f>
        <v>516527.50999999995</v>
      </c>
    </row>
    <row r="41" spans="1:8" ht="24" x14ac:dyDescent="0.25">
      <c r="A41" s="74"/>
      <c r="B41" s="75"/>
      <c r="C41" s="12" t="s">
        <v>26</v>
      </c>
      <c r="D41" s="12" t="s">
        <v>58</v>
      </c>
      <c r="E41" s="76">
        <f>E42+E43+E44+E45</f>
        <v>50</v>
      </c>
      <c r="F41" s="76">
        <f>F42+F43+F44+F45</f>
        <v>0</v>
      </c>
      <c r="G41" s="55" t="s">
        <v>59</v>
      </c>
      <c r="H41" s="77">
        <f>H42+H43+H44+H45</f>
        <v>0</v>
      </c>
    </row>
    <row r="42" spans="1:8" ht="36" x14ac:dyDescent="0.25">
      <c r="A42" s="74"/>
      <c r="B42" s="75"/>
      <c r="C42" s="12" t="s">
        <v>619</v>
      </c>
      <c r="D42" s="12" t="s">
        <v>60</v>
      </c>
      <c r="E42" s="76">
        <f>0</f>
        <v>0</v>
      </c>
      <c r="F42" s="76">
        <f>0</f>
        <v>0</v>
      </c>
      <c r="G42" s="55" t="s">
        <v>13</v>
      </c>
      <c r="H42" s="77">
        <f>0</f>
        <v>0</v>
      </c>
    </row>
    <row r="43" spans="1:8" ht="48" x14ac:dyDescent="0.25">
      <c r="A43" s="74"/>
      <c r="B43" s="75"/>
      <c r="C43" s="12" t="s">
        <v>620</v>
      </c>
      <c r="D43" s="12" t="s">
        <v>61</v>
      </c>
      <c r="E43" s="76">
        <f>50</f>
        <v>50</v>
      </c>
      <c r="F43" s="76">
        <f>0</f>
        <v>0</v>
      </c>
      <c r="G43" s="55" t="s">
        <v>59</v>
      </c>
      <c r="H43" s="77">
        <f>0</f>
        <v>0</v>
      </c>
    </row>
    <row r="44" spans="1:8" ht="36" x14ac:dyDescent="0.25">
      <c r="A44" s="74"/>
      <c r="B44" s="75"/>
      <c r="C44" s="12" t="s">
        <v>656</v>
      </c>
      <c r="D44" s="12" t="s">
        <v>62</v>
      </c>
      <c r="E44" s="76">
        <f>0</f>
        <v>0</v>
      </c>
      <c r="F44" s="76">
        <f>0</f>
        <v>0</v>
      </c>
      <c r="G44" s="55" t="s">
        <v>13</v>
      </c>
      <c r="H44" s="77">
        <f>0</f>
        <v>0</v>
      </c>
    </row>
    <row r="45" spans="1:8" ht="36" x14ac:dyDescent="0.25">
      <c r="A45" s="74"/>
      <c r="B45" s="75"/>
      <c r="C45" s="12" t="s">
        <v>621</v>
      </c>
      <c r="D45" s="12" t="s">
        <v>63</v>
      </c>
      <c r="E45" s="76">
        <f>0</f>
        <v>0</v>
      </c>
      <c r="F45" s="76">
        <f>0</f>
        <v>0</v>
      </c>
      <c r="G45" s="55" t="s">
        <v>13</v>
      </c>
      <c r="H45" s="77">
        <f>0</f>
        <v>0</v>
      </c>
    </row>
    <row r="46" spans="1:8" ht="24" x14ac:dyDescent="0.25">
      <c r="A46" s="74"/>
      <c r="B46" s="75"/>
      <c r="C46" s="12" t="s">
        <v>629</v>
      </c>
      <c r="D46" s="12" t="s">
        <v>73</v>
      </c>
      <c r="E46" s="76">
        <f>E47+E48</f>
        <v>24690</v>
      </c>
      <c r="F46" s="76">
        <f>F47+F48</f>
        <v>13577.05</v>
      </c>
      <c r="G46" s="55" t="s">
        <v>630</v>
      </c>
      <c r="H46" s="77">
        <f>H47+H48</f>
        <v>13577.05</v>
      </c>
    </row>
    <row r="47" spans="1:8" ht="48" x14ac:dyDescent="0.25">
      <c r="A47" s="74"/>
      <c r="B47" s="75"/>
      <c r="C47" s="12" t="s">
        <v>657</v>
      </c>
      <c r="D47" s="12" t="s">
        <v>74</v>
      </c>
      <c r="E47" s="76">
        <f>5012+19678</f>
        <v>24690</v>
      </c>
      <c r="F47" s="76">
        <f>2756.15+10820.9</f>
        <v>13577.05</v>
      </c>
      <c r="G47" s="55" t="s">
        <v>630</v>
      </c>
      <c r="H47" s="77">
        <f>2756.15+10820.9</f>
        <v>13577.05</v>
      </c>
    </row>
    <row r="48" spans="1:8" ht="84" x14ac:dyDescent="0.25">
      <c r="A48" s="74"/>
      <c r="B48" s="75"/>
      <c r="C48" s="12" t="s">
        <v>658</v>
      </c>
      <c r="D48" s="12" t="s">
        <v>75</v>
      </c>
      <c r="E48" s="76">
        <f>0</f>
        <v>0</v>
      </c>
      <c r="F48" s="76">
        <f>0</f>
        <v>0</v>
      </c>
      <c r="G48" s="55" t="s">
        <v>13</v>
      </c>
      <c r="H48" s="77">
        <f>0</f>
        <v>0</v>
      </c>
    </row>
    <row r="49" spans="1:8" ht="24" x14ac:dyDescent="0.25">
      <c r="A49" s="74"/>
      <c r="B49" s="75"/>
      <c r="C49" s="12" t="s">
        <v>46</v>
      </c>
      <c r="D49" s="12" t="s">
        <v>64</v>
      </c>
      <c r="E49" s="76">
        <f>E50+E51+E52+E53+E54+E55+E56+E57</f>
        <v>881239.17</v>
      </c>
      <c r="F49" s="76">
        <f>F50+F51+F52+F53+F54+F55+F56+F57</f>
        <v>502950.45999999996</v>
      </c>
      <c r="G49" s="55" t="s">
        <v>631</v>
      </c>
      <c r="H49" s="77">
        <f>H50+H51+H52+H53+H54+H55+H56+H57</f>
        <v>502950.45999999996</v>
      </c>
    </row>
    <row r="50" spans="1:8" ht="24" x14ac:dyDescent="0.25">
      <c r="A50" s="74"/>
      <c r="B50" s="75"/>
      <c r="C50" s="12" t="s">
        <v>627</v>
      </c>
      <c r="D50" s="12" t="s">
        <v>65</v>
      </c>
      <c r="E50" s="76">
        <f>0</f>
        <v>0</v>
      </c>
      <c r="F50" s="76">
        <f>0</f>
        <v>0</v>
      </c>
      <c r="G50" s="55" t="s">
        <v>13</v>
      </c>
      <c r="H50" s="77">
        <f>0</f>
        <v>0</v>
      </c>
    </row>
    <row r="51" spans="1:8" ht="84" x14ac:dyDescent="0.25">
      <c r="A51" s="74"/>
      <c r="B51" s="75"/>
      <c r="C51" s="12" t="s">
        <v>659</v>
      </c>
      <c r="D51" s="12" t="s">
        <v>66</v>
      </c>
      <c r="E51" s="76">
        <f>598431</f>
        <v>598431</v>
      </c>
      <c r="F51" s="76">
        <f>351268.73</f>
        <v>351268.73</v>
      </c>
      <c r="G51" s="55" t="s">
        <v>632</v>
      </c>
      <c r="H51" s="77">
        <f>351268.73</f>
        <v>351268.73</v>
      </c>
    </row>
    <row r="52" spans="1:8" ht="72" x14ac:dyDescent="0.25">
      <c r="A52" s="74"/>
      <c r="B52" s="75"/>
      <c r="C52" s="12" t="s">
        <v>660</v>
      </c>
      <c r="D52" s="12" t="s">
        <v>67</v>
      </c>
      <c r="E52" s="76">
        <f>26946</f>
        <v>26946</v>
      </c>
      <c r="F52" s="76">
        <f>20210</f>
        <v>20210</v>
      </c>
      <c r="G52" s="55" t="s">
        <v>633</v>
      </c>
      <c r="H52" s="77">
        <f>20210</f>
        <v>20210</v>
      </c>
    </row>
    <row r="53" spans="1:8" ht="48" x14ac:dyDescent="0.25">
      <c r="A53" s="74"/>
      <c r="B53" s="75"/>
      <c r="C53" s="12" t="s">
        <v>661</v>
      </c>
      <c r="D53" s="12" t="s">
        <v>68</v>
      </c>
      <c r="E53" s="76">
        <f>37816</f>
        <v>37816</v>
      </c>
      <c r="F53" s="76">
        <f>15132.04</f>
        <v>15132.04</v>
      </c>
      <c r="G53" s="55" t="s">
        <v>634</v>
      </c>
      <c r="H53" s="77">
        <f>15132.04</f>
        <v>15132.04</v>
      </c>
    </row>
    <row r="54" spans="1:8" ht="36" x14ac:dyDescent="0.25">
      <c r="A54" s="74"/>
      <c r="B54" s="75"/>
      <c r="C54" s="12" t="s">
        <v>662</v>
      </c>
      <c r="D54" s="12" t="s">
        <v>69</v>
      </c>
      <c r="E54" s="76">
        <f>176444.75</f>
        <v>176444.75</v>
      </c>
      <c r="F54" s="76">
        <f>86858</f>
        <v>86858</v>
      </c>
      <c r="G54" s="55" t="s">
        <v>635</v>
      </c>
      <c r="H54" s="77">
        <f>86858</f>
        <v>86858</v>
      </c>
    </row>
    <row r="55" spans="1:8" ht="24" x14ac:dyDescent="0.25">
      <c r="A55" s="74"/>
      <c r="B55" s="75"/>
      <c r="C55" s="12" t="s">
        <v>663</v>
      </c>
      <c r="D55" s="12" t="s">
        <v>70</v>
      </c>
      <c r="E55" s="76">
        <f>13756.99</f>
        <v>13756.99</v>
      </c>
      <c r="F55" s="76">
        <f>10814.93</f>
        <v>10814.93</v>
      </c>
      <c r="G55" s="55" t="s">
        <v>636</v>
      </c>
      <c r="H55" s="77">
        <f>10814.93</f>
        <v>10814.93</v>
      </c>
    </row>
    <row r="56" spans="1:8" ht="24" x14ac:dyDescent="0.25">
      <c r="A56" s="74"/>
      <c r="B56" s="75"/>
      <c r="C56" s="12" t="s">
        <v>664</v>
      </c>
      <c r="D56" s="12" t="s">
        <v>71</v>
      </c>
      <c r="E56" s="76">
        <f>27844.43</f>
        <v>27844.43</v>
      </c>
      <c r="F56" s="76">
        <f>18666.76</f>
        <v>18666.759999999998</v>
      </c>
      <c r="G56" s="55" t="s">
        <v>637</v>
      </c>
      <c r="H56" s="77">
        <f>18666.76</f>
        <v>18666.759999999998</v>
      </c>
    </row>
    <row r="57" spans="1:8" ht="24" x14ac:dyDescent="0.25">
      <c r="A57" s="74"/>
      <c r="B57" s="75"/>
      <c r="C57" s="12" t="s">
        <v>665</v>
      </c>
      <c r="D57" s="12" t="s">
        <v>72</v>
      </c>
      <c r="E57" s="76">
        <f>0</f>
        <v>0</v>
      </c>
      <c r="F57" s="76">
        <f>0</f>
        <v>0</v>
      </c>
      <c r="G57" s="55" t="s">
        <v>13</v>
      </c>
      <c r="H57" s="77">
        <f>0</f>
        <v>0</v>
      </c>
    </row>
    <row r="58" spans="1:8" x14ac:dyDescent="0.25">
      <c r="A58" s="74"/>
      <c r="B58" s="75"/>
      <c r="C58" s="13" t="s">
        <v>24</v>
      </c>
      <c r="D58" s="13" t="s">
        <v>76</v>
      </c>
      <c r="E58" s="78">
        <f>E59+E69+E70+E71+E72+E80</f>
        <v>805162.14999999991</v>
      </c>
      <c r="F58" s="78">
        <f>F59+F69+F70+F71+F72+F80</f>
        <v>484637.32</v>
      </c>
      <c r="G58" s="60" t="s">
        <v>638</v>
      </c>
      <c r="H58" s="79">
        <f>H59+H69+H70+H71+H72+H80</f>
        <v>484637.32</v>
      </c>
    </row>
    <row r="59" spans="1:8" x14ac:dyDescent="0.25">
      <c r="A59" s="74"/>
      <c r="B59" s="75"/>
      <c r="C59" s="12" t="s">
        <v>26</v>
      </c>
      <c r="D59" s="12" t="s">
        <v>78</v>
      </c>
      <c r="E59" s="76">
        <f>SUM(E60:E68)</f>
        <v>741360.59</v>
      </c>
      <c r="F59" s="76">
        <f>SUM(F60:F68)</f>
        <v>458612.07</v>
      </c>
      <c r="G59" s="55" t="s">
        <v>639</v>
      </c>
      <c r="H59" s="77">
        <f>SUM(H60:H68)</f>
        <v>458612.07</v>
      </c>
    </row>
    <row r="60" spans="1:8" ht="120" x14ac:dyDescent="0.25">
      <c r="A60" s="74"/>
      <c r="B60" s="75"/>
      <c r="C60" s="12" t="s">
        <v>619</v>
      </c>
      <c r="D60" s="12" t="s">
        <v>79</v>
      </c>
      <c r="E60" s="76">
        <f>619514</f>
        <v>619514</v>
      </c>
      <c r="F60" s="76">
        <f>396528.13</f>
        <v>396528.13</v>
      </c>
      <c r="G60" s="55" t="s">
        <v>640</v>
      </c>
      <c r="H60" s="77">
        <f>396528.13</f>
        <v>396528.13</v>
      </c>
    </row>
    <row r="61" spans="1:8" ht="108" x14ac:dyDescent="0.25">
      <c r="A61" s="74"/>
      <c r="B61" s="75"/>
      <c r="C61" s="12" t="s">
        <v>620</v>
      </c>
      <c r="D61" s="12" t="s">
        <v>80</v>
      </c>
      <c r="E61" s="76">
        <f>7623</f>
        <v>7623</v>
      </c>
      <c r="F61" s="76">
        <f>3371.13</f>
        <v>3371.13</v>
      </c>
      <c r="G61" s="55" t="s">
        <v>77</v>
      </c>
      <c r="H61" s="77">
        <f>3371.13</f>
        <v>3371.13</v>
      </c>
    </row>
    <row r="62" spans="1:8" ht="24" x14ac:dyDescent="0.25">
      <c r="A62" s="74"/>
      <c r="B62" s="75"/>
      <c r="C62" s="12" t="s">
        <v>656</v>
      </c>
      <c r="D62" s="12" t="s">
        <v>81</v>
      </c>
      <c r="E62" s="76">
        <f>72709.44</f>
        <v>72709.440000000002</v>
      </c>
      <c r="F62" s="76">
        <f>39240.51</f>
        <v>39240.51</v>
      </c>
      <c r="G62" s="55" t="s">
        <v>641</v>
      </c>
      <c r="H62" s="77">
        <f>39240.51</f>
        <v>39240.51</v>
      </c>
    </row>
    <row r="63" spans="1:8" ht="24" x14ac:dyDescent="0.25">
      <c r="A63" s="74"/>
      <c r="B63" s="75"/>
      <c r="C63" s="12" t="s">
        <v>621</v>
      </c>
      <c r="D63" s="12" t="s">
        <v>82</v>
      </c>
      <c r="E63" s="76">
        <f>5113.64</f>
        <v>5113.6400000000003</v>
      </c>
      <c r="F63" s="76">
        <f>209.87</f>
        <v>209.87</v>
      </c>
      <c r="G63" s="55" t="s">
        <v>642</v>
      </c>
      <c r="H63" s="77">
        <f>209.87</f>
        <v>209.87</v>
      </c>
    </row>
    <row r="64" spans="1:8" ht="24" x14ac:dyDescent="0.25">
      <c r="A64" s="74"/>
      <c r="B64" s="75"/>
      <c r="C64" s="12" t="s">
        <v>622</v>
      </c>
      <c r="D64" s="12" t="s">
        <v>83</v>
      </c>
      <c r="E64" s="76">
        <f>16961.51</f>
        <v>16961.509999999998</v>
      </c>
      <c r="F64" s="76">
        <f>10973.44</f>
        <v>10973.44</v>
      </c>
      <c r="G64" s="55" t="s">
        <v>643</v>
      </c>
      <c r="H64" s="77">
        <f>10973.44</f>
        <v>10973.44</v>
      </c>
    </row>
    <row r="65" spans="1:8" ht="24" x14ac:dyDescent="0.25">
      <c r="A65" s="74"/>
      <c r="B65" s="75"/>
      <c r="C65" s="12" t="s">
        <v>666</v>
      </c>
      <c r="D65" s="12" t="s">
        <v>84</v>
      </c>
      <c r="E65" s="76">
        <f>0</f>
        <v>0</v>
      </c>
      <c r="F65" s="76">
        <f>0</f>
        <v>0</v>
      </c>
      <c r="G65" s="55" t="s">
        <v>13</v>
      </c>
      <c r="H65" s="77">
        <f>0</f>
        <v>0</v>
      </c>
    </row>
    <row r="66" spans="1:8" x14ac:dyDescent="0.25">
      <c r="A66" s="74"/>
      <c r="B66" s="75"/>
      <c r="C66" s="12" t="s">
        <v>623</v>
      </c>
      <c r="D66" s="12" t="s">
        <v>72</v>
      </c>
      <c r="E66" s="76">
        <f>9570</f>
        <v>9570</v>
      </c>
      <c r="F66" s="76">
        <f>5561.3</f>
        <v>5561.3</v>
      </c>
      <c r="G66" s="55" t="s">
        <v>644</v>
      </c>
      <c r="H66" s="77">
        <f>5561.3</f>
        <v>5561.3</v>
      </c>
    </row>
    <row r="67" spans="1:8" ht="24" x14ac:dyDescent="0.25">
      <c r="A67" s="74"/>
      <c r="B67" s="75"/>
      <c r="C67" s="12" t="s">
        <v>667</v>
      </c>
      <c r="D67" s="12" t="s">
        <v>85</v>
      </c>
      <c r="E67" s="76">
        <f>0</f>
        <v>0</v>
      </c>
      <c r="F67" s="76">
        <f>0</f>
        <v>0</v>
      </c>
      <c r="G67" s="55" t="s">
        <v>13</v>
      </c>
      <c r="H67" s="77">
        <f>0</f>
        <v>0</v>
      </c>
    </row>
    <row r="68" spans="1:8" ht="144" x14ac:dyDescent="0.25">
      <c r="A68" s="74"/>
      <c r="B68" s="75"/>
      <c r="C68" s="12" t="s">
        <v>668</v>
      </c>
      <c r="D68" s="12" t="s">
        <v>86</v>
      </c>
      <c r="E68" s="76">
        <f>9869</f>
        <v>9869</v>
      </c>
      <c r="F68" s="76">
        <f>2727.69</f>
        <v>2727.69</v>
      </c>
      <c r="G68" s="55" t="s">
        <v>645</v>
      </c>
      <c r="H68" s="77">
        <f>2727.69</f>
        <v>2727.69</v>
      </c>
    </row>
    <row r="69" spans="1:8" ht="24" x14ac:dyDescent="0.25">
      <c r="A69" s="74"/>
      <c r="B69" s="75"/>
      <c r="C69" s="12" t="s">
        <v>98</v>
      </c>
      <c r="D69" s="12" t="s">
        <v>99</v>
      </c>
      <c r="E69" s="76">
        <f>0</f>
        <v>0</v>
      </c>
      <c r="F69" s="76">
        <f>0</f>
        <v>0</v>
      </c>
      <c r="G69" s="55" t="s">
        <v>13</v>
      </c>
      <c r="H69" s="77">
        <f>0</f>
        <v>0</v>
      </c>
    </row>
    <row r="70" spans="1:8" ht="24" x14ac:dyDescent="0.25">
      <c r="A70" s="74"/>
      <c r="B70" s="75"/>
      <c r="C70" s="12" t="s">
        <v>46</v>
      </c>
      <c r="D70" s="12" t="s">
        <v>87</v>
      </c>
      <c r="E70" s="76">
        <f>0</f>
        <v>0</v>
      </c>
      <c r="F70" s="76">
        <f>0</f>
        <v>0</v>
      </c>
      <c r="G70" s="55" t="s">
        <v>13</v>
      </c>
      <c r="H70" s="77">
        <f>0</f>
        <v>0</v>
      </c>
    </row>
    <row r="71" spans="1:8" ht="24" x14ac:dyDescent="0.25">
      <c r="A71" s="74"/>
      <c r="B71" s="75"/>
      <c r="C71" s="12" t="s">
        <v>96</v>
      </c>
      <c r="D71" s="12" t="s">
        <v>97</v>
      </c>
      <c r="E71" s="76">
        <f>0</f>
        <v>0</v>
      </c>
      <c r="F71" s="76">
        <f>0</f>
        <v>0</v>
      </c>
      <c r="G71" s="55" t="s">
        <v>13</v>
      </c>
      <c r="H71" s="77">
        <f>0</f>
        <v>0</v>
      </c>
    </row>
    <row r="72" spans="1:8" ht="48" x14ac:dyDescent="0.25">
      <c r="A72" s="74"/>
      <c r="B72" s="75"/>
      <c r="C72" s="12" t="s">
        <v>14</v>
      </c>
      <c r="D72" s="12" t="s">
        <v>88</v>
      </c>
      <c r="E72" s="76">
        <f>SUM(E73:E79)</f>
        <v>63801.56</v>
      </c>
      <c r="F72" s="76">
        <f>SUM(F73:F79)</f>
        <v>26025.25</v>
      </c>
      <c r="G72" s="55" t="s">
        <v>581</v>
      </c>
      <c r="H72" s="77">
        <f>SUM(H73:H79)</f>
        <v>26025.25</v>
      </c>
    </row>
    <row r="73" spans="1:8" ht="48" x14ac:dyDescent="0.25">
      <c r="A73" s="74"/>
      <c r="B73" s="75"/>
      <c r="C73" s="12" t="s">
        <v>618</v>
      </c>
      <c r="D73" s="12" t="s">
        <v>89</v>
      </c>
      <c r="E73" s="76">
        <f>4334</f>
        <v>4334</v>
      </c>
      <c r="F73" s="76">
        <f>2621.54</f>
        <v>2621.54</v>
      </c>
      <c r="G73" s="55" t="s">
        <v>646</v>
      </c>
      <c r="H73" s="77">
        <f>2621.54</f>
        <v>2621.54</v>
      </c>
    </row>
    <row r="74" spans="1:8" ht="84" x14ac:dyDescent="0.25">
      <c r="A74" s="74"/>
      <c r="B74" s="75"/>
      <c r="C74" s="12" t="s">
        <v>669</v>
      </c>
      <c r="D74" s="12" t="s">
        <v>90</v>
      </c>
      <c r="E74" s="76">
        <f>25244</f>
        <v>25244</v>
      </c>
      <c r="F74" s="76">
        <f>23403.71</f>
        <v>23403.71</v>
      </c>
      <c r="G74" s="55" t="s">
        <v>647</v>
      </c>
      <c r="H74" s="77">
        <f>23403.71</f>
        <v>23403.71</v>
      </c>
    </row>
    <row r="75" spans="1:8" ht="48" x14ac:dyDescent="0.25">
      <c r="A75" s="74"/>
      <c r="B75" s="75"/>
      <c r="C75" s="12" t="s">
        <v>670</v>
      </c>
      <c r="D75" s="12" t="s">
        <v>91</v>
      </c>
      <c r="E75" s="76">
        <f>0</f>
        <v>0</v>
      </c>
      <c r="F75" s="76">
        <f>0</f>
        <v>0</v>
      </c>
      <c r="G75" s="55" t="s">
        <v>13</v>
      </c>
      <c r="H75" s="77">
        <f>0</f>
        <v>0</v>
      </c>
    </row>
    <row r="76" spans="1:8" ht="36" x14ac:dyDescent="0.25">
      <c r="A76" s="74"/>
      <c r="B76" s="75"/>
      <c r="C76" s="12" t="s">
        <v>671</v>
      </c>
      <c r="D76" s="12" t="s">
        <v>92</v>
      </c>
      <c r="E76" s="76">
        <f>0</f>
        <v>0</v>
      </c>
      <c r="F76" s="76">
        <f>0</f>
        <v>0</v>
      </c>
      <c r="G76" s="55" t="s">
        <v>13</v>
      </c>
      <c r="H76" s="77">
        <f>0</f>
        <v>0</v>
      </c>
    </row>
    <row r="77" spans="1:8" ht="36" x14ac:dyDescent="0.25">
      <c r="A77" s="74"/>
      <c r="B77" s="75"/>
      <c r="C77" s="12" t="s">
        <v>672</v>
      </c>
      <c r="D77" s="12" t="s">
        <v>93</v>
      </c>
      <c r="E77" s="76">
        <f>0</f>
        <v>0</v>
      </c>
      <c r="F77" s="76">
        <f>0</f>
        <v>0</v>
      </c>
      <c r="G77" s="55" t="s">
        <v>13</v>
      </c>
      <c r="H77" s="77">
        <f>0</f>
        <v>0</v>
      </c>
    </row>
    <row r="78" spans="1:8" ht="132" x14ac:dyDescent="0.25">
      <c r="A78" s="74"/>
      <c r="B78" s="75"/>
      <c r="C78" s="12" t="s">
        <v>673</v>
      </c>
      <c r="D78" s="12" t="s">
        <v>94</v>
      </c>
      <c r="E78" s="76">
        <f>11652</f>
        <v>11652</v>
      </c>
      <c r="F78" s="76">
        <f>0</f>
        <v>0</v>
      </c>
      <c r="G78" s="55" t="s">
        <v>59</v>
      </c>
      <c r="H78" s="77">
        <f>0</f>
        <v>0</v>
      </c>
    </row>
    <row r="79" spans="1:8" ht="36" x14ac:dyDescent="0.25">
      <c r="A79" s="74"/>
      <c r="B79" s="75"/>
      <c r="C79" s="12" t="s">
        <v>674</v>
      </c>
      <c r="D79" s="12" t="s">
        <v>95</v>
      </c>
      <c r="E79" s="76">
        <f>1128.56+21443</f>
        <v>22571.56</v>
      </c>
      <c r="F79" s="76">
        <f>0</f>
        <v>0</v>
      </c>
      <c r="G79" s="55" t="s">
        <v>59</v>
      </c>
      <c r="H79" s="77">
        <f>0</f>
        <v>0</v>
      </c>
    </row>
    <row r="80" spans="1:8" ht="48" x14ac:dyDescent="0.25">
      <c r="A80" s="74"/>
      <c r="B80" s="75"/>
      <c r="C80" s="12" t="s">
        <v>39</v>
      </c>
      <c r="D80" s="12" t="s">
        <v>100</v>
      </c>
      <c r="E80" s="76">
        <f>0</f>
        <v>0</v>
      </c>
      <c r="F80" s="76">
        <f>0</f>
        <v>0</v>
      </c>
      <c r="G80" s="55" t="s">
        <v>13</v>
      </c>
      <c r="H80" s="77">
        <f>0</f>
        <v>0</v>
      </c>
    </row>
    <row r="81" spans="1:8" ht="24" x14ac:dyDescent="0.25">
      <c r="A81" s="74"/>
      <c r="B81" s="75"/>
      <c r="C81" s="13" t="s">
        <v>30</v>
      </c>
      <c r="D81" s="13" t="s">
        <v>101</v>
      </c>
      <c r="E81" s="78">
        <f>E82+E86+E87+E88+E89+E94+E95+E96</f>
        <v>154749.37</v>
      </c>
      <c r="F81" s="78">
        <f>F82+F86+F87+F88+F89+F94+F95+F96</f>
        <v>103493.9</v>
      </c>
      <c r="G81" s="60" t="s">
        <v>648</v>
      </c>
      <c r="H81" s="79">
        <f>H82+H86+H87+H88+H89+H94+H95+H96</f>
        <v>103493.9</v>
      </c>
    </row>
    <row r="82" spans="1:8" x14ac:dyDescent="0.25">
      <c r="A82" s="74"/>
      <c r="B82" s="75"/>
      <c r="C82" s="12" t="s">
        <v>104</v>
      </c>
      <c r="D82" s="12" t="s">
        <v>105</v>
      </c>
      <c r="E82" s="76">
        <f>E83+E84+E85</f>
        <v>5720</v>
      </c>
      <c r="F82" s="76">
        <f>F83+F84+F85</f>
        <v>2845.7</v>
      </c>
      <c r="G82" s="55" t="s">
        <v>649</v>
      </c>
      <c r="H82" s="77">
        <f>H83+H84+H85</f>
        <v>2845.7</v>
      </c>
    </row>
    <row r="83" spans="1:8" ht="60" x14ac:dyDescent="0.25">
      <c r="A83" s="74"/>
      <c r="B83" s="75"/>
      <c r="C83" s="12" t="s">
        <v>675</v>
      </c>
      <c r="D83" s="12" t="s">
        <v>106</v>
      </c>
      <c r="E83" s="76">
        <f>0</f>
        <v>0</v>
      </c>
      <c r="F83" s="76">
        <f>0</f>
        <v>0</v>
      </c>
      <c r="G83" s="55" t="s">
        <v>13</v>
      </c>
      <c r="H83" s="77">
        <f>0</f>
        <v>0</v>
      </c>
    </row>
    <row r="84" spans="1:8" ht="36" x14ac:dyDescent="0.25">
      <c r="A84" s="74"/>
      <c r="B84" s="75"/>
      <c r="C84" s="12" t="s">
        <v>676</v>
      </c>
      <c r="D84" s="12" t="s">
        <v>107</v>
      </c>
      <c r="E84" s="76">
        <f>2860+2860</f>
        <v>5720</v>
      </c>
      <c r="F84" s="76">
        <f>2845.7</f>
        <v>2845.7</v>
      </c>
      <c r="G84" s="55" t="s">
        <v>649</v>
      </c>
      <c r="H84" s="77">
        <f>2845.7</f>
        <v>2845.7</v>
      </c>
    </row>
    <row r="85" spans="1:8" ht="48" x14ac:dyDescent="0.25">
      <c r="A85" s="74"/>
      <c r="B85" s="75"/>
      <c r="C85" s="12" t="s">
        <v>677</v>
      </c>
      <c r="D85" s="12" t="s">
        <v>108</v>
      </c>
      <c r="E85" s="76">
        <f>0</f>
        <v>0</v>
      </c>
      <c r="F85" s="76">
        <f>0</f>
        <v>0</v>
      </c>
      <c r="G85" s="55" t="s">
        <v>13</v>
      </c>
      <c r="H85" s="77">
        <f>0</f>
        <v>0</v>
      </c>
    </row>
    <row r="86" spans="1:8" ht="24" x14ac:dyDescent="0.25">
      <c r="A86" s="74"/>
      <c r="B86" s="75"/>
      <c r="C86" s="12" t="s">
        <v>102</v>
      </c>
      <c r="D86" s="12" t="s">
        <v>103</v>
      </c>
      <c r="E86" s="76">
        <f>0</f>
        <v>0</v>
      </c>
      <c r="F86" s="76">
        <f>0</f>
        <v>0</v>
      </c>
      <c r="G86" s="55" t="s">
        <v>13</v>
      </c>
      <c r="H86" s="77">
        <f>0</f>
        <v>0</v>
      </c>
    </row>
    <row r="87" spans="1:8" ht="36" x14ac:dyDescent="0.25">
      <c r="A87" s="74"/>
      <c r="B87" s="75"/>
      <c r="C87" s="12" t="s">
        <v>46</v>
      </c>
      <c r="D87" s="12" t="s">
        <v>111</v>
      </c>
      <c r="E87" s="76">
        <f>0</f>
        <v>0</v>
      </c>
      <c r="F87" s="76">
        <f>0</f>
        <v>0</v>
      </c>
      <c r="G87" s="55" t="s">
        <v>13</v>
      </c>
      <c r="H87" s="77">
        <f>0</f>
        <v>0</v>
      </c>
    </row>
    <row r="88" spans="1:8" ht="24" x14ac:dyDescent="0.25">
      <c r="A88" s="74"/>
      <c r="B88" s="75"/>
      <c r="C88" s="12" t="s">
        <v>96</v>
      </c>
      <c r="D88" s="12" t="s">
        <v>97</v>
      </c>
      <c r="E88" s="76">
        <f>0</f>
        <v>0</v>
      </c>
      <c r="F88" s="76">
        <v>0</v>
      </c>
      <c r="G88" s="55" t="s">
        <v>13</v>
      </c>
      <c r="H88" s="77">
        <v>0</v>
      </c>
    </row>
    <row r="89" spans="1:8" ht="24" x14ac:dyDescent="0.25">
      <c r="A89" s="74"/>
      <c r="B89" s="75"/>
      <c r="C89" s="12" t="s">
        <v>14</v>
      </c>
      <c r="D89" s="12" t="s">
        <v>112</v>
      </c>
      <c r="E89" s="76">
        <f>E90+E91+E92+E93</f>
        <v>149029.37</v>
      </c>
      <c r="F89" s="76">
        <f>F90+F91+F92+F93</f>
        <v>100648.2</v>
      </c>
      <c r="G89" s="55" t="s">
        <v>650</v>
      </c>
      <c r="H89" s="77">
        <f>H90+H91+H92+H93</f>
        <v>100648.2</v>
      </c>
    </row>
    <row r="90" spans="1:8" ht="36" x14ac:dyDescent="0.25">
      <c r="A90" s="74"/>
      <c r="B90" s="75"/>
      <c r="C90" s="12" t="s">
        <v>617</v>
      </c>
      <c r="D90" s="12" t="s">
        <v>113</v>
      </c>
      <c r="E90" s="76">
        <f>144386.76</f>
        <v>144386.76</v>
      </c>
      <c r="F90" s="76">
        <f>97839</f>
        <v>97839</v>
      </c>
      <c r="G90" s="55" t="s">
        <v>651</v>
      </c>
      <c r="H90" s="77">
        <f>97839</f>
        <v>97839</v>
      </c>
    </row>
    <row r="91" spans="1:8" ht="24" x14ac:dyDescent="0.25">
      <c r="A91" s="74"/>
      <c r="B91" s="75"/>
      <c r="C91" s="12" t="s">
        <v>618</v>
      </c>
      <c r="D91" s="12" t="s">
        <v>114</v>
      </c>
      <c r="E91" s="76">
        <f>0</f>
        <v>0</v>
      </c>
      <c r="F91" s="76">
        <f>0</f>
        <v>0</v>
      </c>
      <c r="G91" s="55" t="s">
        <v>13</v>
      </c>
      <c r="H91" s="77">
        <f>0</f>
        <v>0</v>
      </c>
    </row>
    <row r="92" spans="1:8" ht="24" x14ac:dyDescent="0.25">
      <c r="A92" s="74"/>
      <c r="B92" s="75"/>
      <c r="C92" s="12" t="s">
        <v>678</v>
      </c>
      <c r="D92" s="12" t="s">
        <v>115</v>
      </c>
      <c r="E92" s="76">
        <f>4642.61</f>
        <v>4642.6099999999997</v>
      </c>
      <c r="F92" s="76">
        <f>2809.2</f>
        <v>2809.2</v>
      </c>
      <c r="G92" s="55" t="s">
        <v>646</v>
      </c>
      <c r="H92" s="77">
        <f>2809.2</f>
        <v>2809.2</v>
      </c>
    </row>
    <row r="93" spans="1:8" ht="24" x14ac:dyDescent="0.25">
      <c r="A93" s="74"/>
      <c r="B93" s="75"/>
      <c r="C93" s="12" t="s">
        <v>669</v>
      </c>
      <c r="D93" s="12" t="s">
        <v>72</v>
      </c>
      <c r="E93" s="76">
        <f>0</f>
        <v>0</v>
      </c>
      <c r="F93" s="76">
        <f>0</f>
        <v>0</v>
      </c>
      <c r="G93" s="55" t="s">
        <v>13</v>
      </c>
      <c r="H93" s="77">
        <f>0</f>
        <v>0</v>
      </c>
    </row>
    <row r="94" spans="1:8" ht="36" x14ac:dyDescent="0.25">
      <c r="A94" s="74"/>
      <c r="B94" s="75"/>
      <c r="C94" s="12" t="s">
        <v>116</v>
      </c>
      <c r="D94" s="12" t="s">
        <v>117</v>
      </c>
      <c r="E94" s="76">
        <f>0</f>
        <v>0</v>
      </c>
      <c r="F94" s="76">
        <f>0</f>
        <v>0</v>
      </c>
      <c r="G94" s="55" t="s">
        <v>13</v>
      </c>
      <c r="H94" s="77">
        <f>0</f>
        <v>0</v>
      </c>
    </row>
    <row r="95" spans="1:8" ht="24" x14ac:dyDescent="0.25">
      <c r="A95" s="74"/>
      <c r="B95" s="75"/>
      <c r="C95" s="12" t="s">
        <v>109</v>
      </c>
      <c r="D95" s="12" t="s">
        <v>110</v>
      </c>
      <c r="E95" s="76">
        <f>0</f>
        <v>0</v>
      </c>
      <c r="F95" s="76">
        <f>0</f>
        <v>0</v>
      </c>
      <c r="G95" s="55" t="s">
        <v>13</v>
      </c>
      <c r="H95" s="77">
        <f>0</f>
        <v>0</v>
      </c>
    </row>
    <row r="96" spans="1:8" ht="24" x14ac:dyDescent="0.25">
      <c r="A96" s="74"/>
      <c r="B96" s="75"/>
      <c r="C96" s="12" t="s">
        <v>118</v>
      </c>
      <c r="D96" s="12" t="s">
        <v>119</v>
      </c>
      <c r="E96" s="76">
        <f>0</f>
        <v>0</v>
      </c>
      <c r="F96" s="76">
        <f>0</f>
        <v>0</v>
      </c>
      <c r="G96" s="55" t="s">
        <v>13</v>
      </c>
      <c r="H96" s="77">
        <f>0</f>
        <v>0</v>
      </c>
    </row>
    <row r="97" spans="1:8" ht="24" x14ac:dyDescent="0.25">
      <c r="A97" s="74"/>
      <c r="B97" s="75"/>
      <c r="C97" s="13" t="s">
        <v>37</v>
      </c>
      <c r="D97" s="13" t="s">
        <v>120</v>
      </c>
      <c r="E97" s="78">
        <f>E98</f>
        <v>0</v>
      </c>
      <c r="F97" s="78">
        <f>F98</f>
        <v>0</v>
      </c>
      <c r="G97" s="60" t="s">
        <v>13</v>
      </c>
      <c r="H97" s="79">
        <f>H98</f>
        <v>0</v>
      </c>
    </row>
    <row r="98" spans="1:8" ht="48" x14ac:dyDescent="0.25">
      <c r="A98" s="74"/>
      <c r="B98" s="75"/>
      <c r="C98" s="12" t="s">
        <v>39</v>
      </c>
      <c r="D98" s="12" t="s">
        <v>122</v>
      </c>
      <c r="E98" s="76">
        <f>E99</f>
        <v>0</v>
      </c>
      <c r="F98" s="76">
        <f>F99</f>
        <v>0</v>
      </c>
      <c r="G98" s="55" t="s">
        <v>13</v>
      </c>
      <c r="H98" s="77">
        <f>H99</f>
        <v>0</v>
      </c>
    </row>
    <row r="99" spans="1:8" ht="24" x14ac:dyDescent="0.25">
      <c r="A99" s="74"/>
      <c r="B99" s="75"/>
      <c r="C99" s="12" t="s">
        <v>39</v>
      </c>
      <c r="D99" s="12" t="s">
        <v>121</v>
      </c>
      <c r="E99" s="76">
        <f>0</f>
        <v>0</v>
      </c>
      <c r="F99" s="76">
        <f>0</f>
        <v>0</v>
      </c>
      <c r="G99" s="55" t="s">
        <v>13</v>
      </c>
      <c r="H99" s="77">
        <f>0</f>
        <v>0</v>
      </c>
    </row>
    <row r="100" spans="1:8" x14ac:dyDescent="0.25">
      <c r="A100" s="74"/>
      <c r="B100" s="75"/>
      <c r="C100" s="13" t="s">
        <v>17</v>
      </c>
      <c r="D100" s="13" t="s">
        <v>50</v>
      </c>
      <c r="E100" s="78">
        <f>E101</f>
        <v>32099.48</v>
      </c>
      <c r="F100" s="78">
        <f>F101</f>
        <v>20492.419999999998</v>
      </c>
      <c r="G100" s="60" t="s">
        <v>652</v>
      </c>
      <c r="H100" s="79">
        <f>H101</f>
        <v>20492.419999999998</v>
      </c>
    </row>
    <row r="101" spans="1:8" ht="24" x14ac:dyDescent="0.25">
      <c r="A101" s="74"/>
      <c r="B101" s="75"/>
      <c r="C101" s="12" t="s">
        <v>26</v>
      </c>
      <c r="D101" s="12" t="s">
        <v>51</v>
      </c>
      <c r="E101" s="76">
        <f>E102+E103+E104</f>
        <v>32099.48</v>
      </c>
      <c r="F101" s="76">
        <f>F102+F103+F104</f>
        <v>20492.419999999998</v>
      </c>
      <c r="G101" s="55" t="s">
        <v>652</v>
      </c>
      <c r="H101" s="77">
        <f>H102+H103+H104</f>
        <v>20492.419999999998</v>
      </c>
    </row>
    <row r="102" spans="1:8" ht="24" x14ac:dyDescent="0.25">
      <c r="A102" s="74"/>
      <c r="B102" s="75"/>
      <c r="C102" s="12" t="s">
        <v>619</v>
      </c>
      <c r="D102" s="12" t="s">
        <v>123</v>
      </c>
      <c r="E102" s="76">
        <f>14151.84</f>
        <v>14151.84</v>
      </c>
      <c r="F102" s="76">
        <f>8163.28</f>
        <v>8163.28</v>
      </c>
      <c r="G102" s="55" t="s">
        <v>653</v>
      </c>
      <c r="H102" s="77">
        <f>8163.28</f>
        <v>8163.28</v>
      </c>
    </row>
    <row r="103" spans="1:8" ht="36" x14ac:dyDescent="0.25">
      <c r="A103" s="74"/>
      <c r="B103" s="75"/>
      <c r="C103" s="12" t="s">
        <v>620</v>
      </c>
      <c r="D103" s="12" t="s">
        <v>124</v>
      </c>
      <c r="E103" s="76">
        <f>17947.64</f>
        <v>17947.64</v>
      </c>
      <c r="F103" s="76">
        <f>12329.14</f>
        <v>12329.14</v>
      </c>
      <c r="G103" s="55" t="s">
        <v>654</v>
      </c>
      <c r="H103" s="77">
        <f>12329.14</f>
        <v>12329.14</v>
      </c>
    </row>
    <row r="104" spans="1:8" ht="24" x14ac:dyDescent="0.25">
      <c r="A104" s="74"/>
      <c r="B104" s="75"/>
      <c r="C104" s="12" t="s">
        <v>656</v>
      </c>
      <c r="D104" s="12" t="s">
        <v>72</v>
      </c>
      <c r="E104" s="76">
        <f>0</f>
        <v>0</v>
      </c>
      <c r="F104" s="76">
        <f>0</f>
        <v>0</v>
      </c>
      <c r="G104" s="55" t="s">
        <v>13</v>
      </c>
      <c r="H104" s="77">
        <f>0</f>
        <v>0</v>
      </c>
    </row>
    <row r="105" spans="1:8" ht="20.100000000000001" customHeight="1" thickBot="1" x14ac:dyDescent="0.3">
      <c r="A105" s="80" t="s">
        <v>22</v>
      </c>
      <c r="B105" s="81"/>
      <c r="C105" s="81"/>
      <c r="D105" s="82"/>
      <c r="E105" s="83">
        <f>E100+E97+E81+E40+E58</f>
        <v>1897990.17</v>
      </c>
      <c r="F105" s="83">
        <f>F100+F97+F81+F40+F58</f>
        <v>1125151.1499999999</v>
      </c>
      <c r="G105" s="84" t="s">
        <v>655</v>
      </c>
      <c r="H105" s="85">
        <f>H100+H97+H81+H40+H58</f>
        <v>1125151.1499999999</v>
      </c>
    </row>
    <row r="106" spans="1:8" x14ac:dyDescent="0.25">
      <c r="A106" s="42">
        <v>4</v>
      </c>
      <c r="B106" s="86" t="s">
        <v>125</v>
      </c>
      <c r="C106" s="45" t="s">
        <v>11</v>
      </c>
      <c r="D106" s="45" t="s">
        <v>126</v>
      </c>
      <c r="E106" s="71">
        <f>E107+E110+E112+E119</f>
        <v>44710.879999999997</v>
      </c>
      <c r="F106" s="71">
        <f>F107+F110+F112+F119</f>
        <v>36285.949999999997</v>
      </c>
      <c r="G106" s="72" t="s">
        <v>679</v>
      </c>
      <c r="H106" s="73">
        <f>H107+H110+H112+H119</f>
        <v>36285.949999999997</v>
      </c>
    </row>
    <row r="107" spans="1:8" ht="36" x14ac:dyDescent="0.25">
      <c r="A107" s="49"/>
      <c r="B107" s="87"/>
      <c r="C107" s="12" t="s">
        <v>14</v>
      </c>
      <c r="D107" s="12" t="s">
        <v>127</v>
      </c>
      <c r="E107" s="76">
        <f>E108+E109</f>
        <v>32743</v>
      </c>
      <c r="F107" s="76">
        <f>F108+F109</f>
        <v>30518.969999999998</v>
      </c>
      <c r="G107" s="55" t="s">
        <v>680</v>
      </c>
      <c r="H107" s="77">
        <f>H108+H109</f>
        <v>30518.969999999998</v>
      </c>
    </row>
    <row r="108" spans="1:8" ht="24" x14ac:dyDescent="0.25">
      <c r="A108" s="49"/>
      <c r="B108" s="87"/>
      <c r="C108" s="12" t="s">
        <v>617</v>
      </c>
      <c r="D108" s="12" t="s">
        <v>128</v>
      </c>
      <c r="E108" s="76">
        <f>29546</f>
        <v>29546</v>
      </c>
      <c r="F108" s="76">
        <f>28480.26</f>
        <v>28480.26</v>
      </c>
      <c r="G108" s="55" t="s">
        <v>681</v>
      </c>
      <c r="H108" s="77">
        <f>28480.26</f>
        <v>28480.26</v>
      </c>
    </row>
    <row r="109" spans="1:8" ht="24" x14ac:dyDescent="0.25">
      <c r="A109" s="49"/>
      <c r="B109" s="87"/>
      <c r="C109" s="12" t="s">
        <v>618</v>
      </c>
      <c r="D109" s="12" t="s">
        <v>130</v>
      </c>
      <c r="E109" s="76">
        <f>3197</f>
        <v>3197</v>
      </c>
      <c r="F109" s="76">
        <f>2038.71</f>
        <v>2038.71</v>
      </c>
      <c r="G109" s="55" t="s">
        <v>652</v>
      </c>
      <c r="H109" s="77">
        <f>2038.71</f>
        <v>2038.71</v>
      </c>
    </row>
    <row r="110" spans="1:8" ht="24" x14ac:dyDescent="0.25">
      <c r="A110" s="49"/>
      <c r="B110" s="87"/>
      <c r="C110" s="12" t="s">
        <v>131</v>
      </c>
      <c r="D110" s="12" t="s">
        <v>132</v>
      </c>
      <c r="E110" s="76">
        <f>E111</f>
        <v>6986.18</v>
      </c>
      <c r="F110" s="76">
        <f>F111</f>
        <v>4052.33</v>
      </c>
      <c r="G110" s="55" t="s">
        <v>682</v>
      </c>
      <c r="H110" s="77">
        <f>H111</f>
        <v>4052.33</v>
      </c>
    </row>
    <row r="111" spans="1:8" ht="36" x14ac:dyDescent="0.25">
      <c r="A111" s="49"/>
      <c r="B111" s="87"/>
      <c r="C111" s="12" t="s">
        <v>692</v>
      </c>
      <c r="D111" s="12" t="s">
        <v>134</v>
      </c>
      <c r="E111" s="76">
        <f>6986.18</f>
        <v>6986.18</v>
      </c>
      <c r="F111" s="76">
        <f>4052.33</f>
        <v>4052.33</v>
      </c>
      <c r="G111" s="55" t="s">
        <v>682</v>
      </c>
      <c r="H111" s="77">
        <f>4052.33</f>
        <v>4052.33</v>
      </c>
    </row>
    <row r="112" spans="1:8" ht="24" x14ac:dyDescent="0.25">
      <c r="A112" s="49"/>
      <c r="B112" s="87"/>
      <c r="C112" s="12" t="s">
        <v>135</v>
      </c>
      <c r="D112" s="12" t="s">
        <v>136</v>
      </c>
      <c r="E112" s="76">
        <f>E113+E117</f>
        <v>3945</v>
      </c>
      <c r="F112" s="76">
        <f>F113+F117</f>
        <v>1714.65</v>
      </c>
      <c r="G112" s="55" t="s">
        <v>133</v>
      </c>
      <c r="H112" s="77">
        <f>H113+H117</f>
        <v>1714.65</v>
      </c>
    </row>
    <row r="113" spans="1:8" x14ac:dyDescent="0.25">
      <c r="A113" s="49"/>
      <c r="B113" s="87"/>
      <c r="C113" s="12" t="s">
        <v>693</v>
      </c>
      <c r="D113" s="12" t="s">
        <v>137</v>
      </c>
      <c r="E113" s="76">
        <f>E114+E115+E116</f>
        <v>3550</v>
      </c>
      <c r="F113" s="76">
        <f>F114+F115+F116</f>
        <v>1534.65</v>
      </c>
      <c r="G113" s="55" t="s">
        <v>683</v>
      </c>
      <c r="H113" s="77">
        <f>H114+H115+H116</f>
        <v>1534.65</v>
      </c>
    </row>
    <row r="114" spans="1:8" ht="36" x14ac:dyDescent="0.25">
      <c r="A114" s="49"/>
      <c r="B114" s="87"/>
      <c r="C114" s="12" t="s">
        <v>695</v>
      </c>
      <c r="D114" s="12" t="s">
        <v>138</v>
      </c>
      <c r="E114" s="76">
        <f>550</f>
        <v>550</v>
      </c>
      <c r="F114" s="76">
        <f>416.55</f>
        <v>416.55</v>
      </c>
      <c r="G114" s="55" t="s">
        <v>684</v>
      </c>
      <c r="H114" s="77">
        <f>416.55</f>
        <v>416.55</v>
      </c>
    </row>
    <row r="115" spans="1:8" ht="36" x14ac:dyDescent="0.25">
      <c r="A115" s="49"/>
      <c r="B115" s="87"/>
      <c r="C115" s="12" t="s">
        <v>696</v>
      </c>
      <c r="D115" s="12" t="s">
        <v>139</v>
      </c>
      <c r="E115" s="76">
        <f>2000</f>
        <v>2000</v>
      </c>
      <c r="F115" s="76">
        <f>955.1</f>
        <v>955.1</v>
      </c>
      <c r="G115" s="55" t="s">
        <v>140</v>
      </c>
      <c r="H115" s="77">
        <f>955.1</f>
        <v>955.1</v>
      </c>
    </row>
    <row r="116" spans="1:8" ht="60" x14ac:dyDescent="0.25">
      <c r="A116" s="49"/>
      <c r="B116" s="87"/>
      <c r="C116" s="12" t="s">
        <v>697</v>
      </c>
      <c r="D116" s="12" t="s">
        <v>141</v>
      </c>
      <c r="E116" s="76">
        <f>1000</f>
        <v>1000</v>
      </c>
      <c r="F116" s="76">
        <f>163</f>
        <v>163</v>
      </c>
      <c r="G116" s="55" t="s">
        <v>142</v>
      </c>
      <c r="H116" s="77">
        <f>163</f>
        <v>163</v>
      </c>
    </row>
    <row r="117" spans="1:8" ht="24" x14ac:dyDescent="0.25">
      <c r="A117" s="49"/>
      <c r="B117" s="87"/>
      <c r="C117" s="12" t="s">
        <v>694</v>
      </c>
      <c r="D117" s="12" t="s">
        <v>143</v>
      </c>
      <c r="E117" s="76">
        <f>E118</f>
        <v>395</v>
      </c>
      <c r="F117" s="76">
        <f>F118</f>
        <v>180</v>
      </c>
      <c r="G117" s="55" t="s">
        <v>685</v>
      </c>
      <c r="H117" s="77">
        <f>H118</f>
        <v>180</v>
      </c>
    </row>
    <row r="118" spans="1:8" ht="84" x14ac:dyDescent="0.25">
      <c r="A118" s="49"/>
      <c r="B118" s="87"/>
      <c r="C118" s="12" t="s">
        <v>698</v>
      </c>
      <c r="D118" s="12" t="s">
        <v>144</v>
      </c>
      <c r="E118" s="76">
        <f>395</f>
        <v>395</v>
      </c>
      <c r="F118" s="76">
        <f>180</f>
        <v>180</v>
      </c>
      <c r="G118" s="55" t="s">
        <v>685</v>
      </c>
      <c r="H118" s="77">
        <f>180</f>
        <v>180</v>
      </c>
    </row>
    <row r="119" spans="1:8" x14ac:dyDescent="0.25">
      <c r="A119" s="49"/>
      <c r="B119" s="87"/>
      <c r="C119" s="12" t="s">
        <v>145</v>
      </c>
      <c r="D119" s="12" t="s">
        <v>146</v>
      </c>
      <c r="E119" s="76">
        <f>E120</f>
        <v>1036.7</v>
      </c>
      <c r="F119" s="76">
        <f>F120</f>
        <v>0</v>
      </c>
      <c r="G119" s="55" t="s">
        <v>59</v>
      </c>
      <c r="H119" s="77">
        <f>H120</f>
        <v>0</v>
      </c>
    </row>
    <row r="120" spans="1:8" ht="24" x14ac:dyDescent="0.25">
      <c r="A120" s="49"/>
      <c r="B120" s="87"/>
      <c r="C120" s="12" t="s">
        <v>699</v>
      </c>
      <c r="D120" s="12" t="s">
        <v>147</v>
      </c>
      <c r="E120" s="76">
        <f>1036.7</f>
        <v>1036.7</v>
      </c>
      <c r="F120" s="76">
        <f>0</f>
        <v>0</v>
      </c>
      <c r="G120" s="55" t="s">
        <v>59</v>
      </c>
      <c r="H120" s="77">
        <f>0</f>
        <v>0</v>
      </c>
    </row>
    <row r="121" spans="1:8" x14ac:dyDescent="0.25">
      <c r="A121" s="49"/>
      <c r="B121" s="87"/>
      <c r="C121" s="13" t="s">
        <v>24</v>
      </c>
      <c r="D121" s="13" t="s">
        <v>148</v>
      </c>
      <c r="E121" s="78">
        <f>E122</f>
        <v>3360</v>
      </c>
      <c r="F121" s="78">
        <f>F122</f>
        <v>0</v>
      </c>
      <c r="G121" s="60" t="s">
        <v>59</v>
      </c>
      <c r="H121" s="79">
        <f>H122</f>
        <v>0</v>
      </c>
    </row>
    <row r="122" spans="1:8" ht="24" x14ac:dyDescent="0.25">
      <c r="A122" s="49"/>
      <c r="B122" s="87"/>
      <c r="C122" s="12" t="s">
        <v>46</v>
      </c>
      <c r="D122" s="12" t="s">
        <v>149</v>
      </c>
      <c r="E122" s="76">
        <f>E123+E124</f>
        <v>3360</v>
      </c>
      <c r="F122" s="76">
        <f>F123+F124</f>
        <v>0</v>
      </c>
      <c r="G122" s="55" t="s">
        <v>59</v>
      </c>
      <c r="H122" s="77">
        <f>H123+H124</f>
        <v>0</v>
      </c>
    </row>
    <row r="123" spans="1:8" ht="48" x14ac:dyDescent="0.25">
      <c r="A123" s="49"/>
      <c r="B123" s="87"/>
      <c r="C123" s="12" t="s">
        <v>627</v>
      </c>
      <c r="D123" s="12" t="s">
        <v>150</v>
      </c>
      <c r="E123" s="76">
        <f>500</f>
        <v>500</v>
      </c>
      <c r="F123" s="76">
        <f>0</f>
        <v>0</v>
      </c>
      <c r="G123" s="55" t="s">
        <v>59</v>
      </c>
      <c r="H123" s="77">
        <f>0</f>
        <v>0</v>
      </c>
    </row>
    <row r="124" spans="1:8" ht="72" x14ac:dyDescent="0.25">
      <c r="A124" s="49"/>
      <c r="B124" s="87"/>
      <c r="C124" s="12" t="s">
        <v>659</v>
      </c>
      <c r="D124" s="12" t="s">
        <v>151</v>
      </c>
      <c r="E124" s="76">
        <f>260+2600</f>
        <v>2860</v>
      </c>
      <c r="F124" s="76">
        <f>0</f>
        <v>0</v>
      </c>
      <c r="G124" s="55" t="s">
        <v>59</v>
      </c>
      <c r="H124" s="77">
        <f>0</f>
        <v>0</v>
      </c>
    </row>
    <row r="125" spans="1:8" x14ac:dyDescent="0.25">
      <c r="A125" s="49"/>
      <c r="B125" s="87"/>
      <c r="C125" s="13" t="s">
        <v>30</v>
      </c>
      <c r="D125" s="13" t="s">
        <v>152</v>
      </c>
      <c r="E125" s="78">
        <f>E126</f>
        <v>23865.390000000003</v>
      </c>
      <c r="F125" s="78">
        <f>F126</f>
        <v>6927.9699999999993</v>
      </c>
      <c r="G125" s="60" t="s">
        <v>686</v>
      </c>
      <c r="H125" s="79">
        <f>H126</f>
        <v>6927.9699999999993</v>
      </c>
    </row>
    <row r="126" spans="1:8" ht="24" x14ac:dyDescent="0.25">
      <c r="A126" s="49"/>
      <c r="B126" s="87"/>
      <c r="C126" s="12" t="s">
        <v>39</v>
      </c>
      <c r="D126" s="12" t="s">
        <v>153</v>
      </c>
      <c r="E126" s="76">
        <f>E127</f>
        <v>23865.390000000003</v>
      </c>
      <c r="F126" s="76">
        <f>F127</f>
        <v>6927.9699999999993</v>
      </c>
      <c r="G126" s="55" t="s">
        <v>686</v>
      </c>
      <c r="H126" s="77">
        <f>H127</f>
        <v>6927.9699999999993</v>
      </c>
    </row>
    <row r="127" spans="1:8" x14ac:dyDescent="0.25">
      <c r="A127" s="49"/>
      <c r="B127" s="87"/>
      <c r="C127" s="12" t="s">
        <v>624</v>
      </c>
      <c r="D127" s="12" t="s">
        <v>154</v>
      </c>
      <c r="E127" s="76">
        <f>SUM(E128:E135)</f>
        <v>23865.390000000003</v>
      </c>
      <c r="F127" s="76">
        <f>SUM(F128:F135)</f>
        <v>6927.9699999999993</v>
      </c>
      <c r="G127" s="55" t="s">
        <v>686</v>
      </c>
      <c r="H127" s="77">
        <f>SUM(H128:H135)</f>
        <v>6927.9699999999993</v>
      </c>
    </row>
    <row r="128" spans="1:8" ht="24" x14ac:dyDescent="0.25">
      <c r="A128" s="49"/>
      <c r="B128" s="87"/>
      <c r="C128" s="12" t="s">
        <v>700</v>
      </c>
      <c r="D128" s="12" t="s">
        <v>155</v>
      </c>
      <c r="E128" s="76">
        <f>2627.71+1409.33</f>
        <v>4037.04</v>
      </c>
      <c r="F128" s="76">
        <f>819.15</f>
        <v>819.15</v>
      </c>
      <c r="G128" s="55" t="s">
        <v>687</v>
      </c>
      <c r="H128" s="77">
        <f>819.15</f>
        <v>819.15</v>
      </c>
    </row>
    <row r="129" spans="1:8" ht="48" x14ac:dyDescent="0.25">
      <c r="A129" s="49"/>
      <c r="B129" s="87"/>
      <c r="C129" s="12" t="s">
        <v>701</v>
      </c>
      <c r="D129" s="12" t="s">
        <v>156</v>
      </c>
      <c r="E129" s="76">
        <f>9180+1020</f>
        <v>10200</v>
      </c>
      <c r="F129" s="76">
        <f>4590</f>
        <v>4590</v>
      </c>
      <c r="G129" s="55" t="s">
        <v>285</v>
      </c>
      <c r="H129" s="77">
        <f>4590</f>
        <v>4590</v>
      </c>
    </row>
    <row r="130" spans="1:8" ht="48" x14ac:dyDescent="0.25">
      <c r="A130" s="49"/>
      <c r="B130" s="87"/>
      <c r="C130" s="12" t="s">
        <v>702</v>
      </c>
      <c r="D130" s="12" t="s">
        <v>157</v>
      </c>
      <c r="E130" s="76">
        <f>2948</f>
        <v>2948</v>
      </c>
      <c r="F130" s="76">
        <f>0</f>
        <v>0</v>
      </c>
      <c r="G130" s="55" t="s">
        <v>59</v>
      </c>
      <c r="H130" s="77">
        <f>0</f>
        <v>0</v>
      </c>
    </row>
    <row r="131" spans="1:8" ht="60" x14ac:dyDescent="0.25">
      <c r="A131" s="49"/>
      <c r="B131" s="87"/>
      <c r="C131" s="12" t="s">
        <v>703</v>
      </c>
      <c r="D131" s="12" t="s">
        <v>158</v>
      </c>
      <c r="E131" s="76">
        <f>1646.9+969</f>
        <v>2615.9</v>
      </c>
      <c r="F131" s="76">
        <f>150.75</f>
        <v>150.75</v>
      </c>
      <c r="G131" s="55" t="s">
        <v>688</v>
      </c>
      <c r="H131" s="77">
        <f>150.75</f>
        <v>150.75</v>
      </c>
    </row>
    <row r="132" spans="1:8" ht="36" x14ac:dyDescent="0.25">
      <c r="A132" s="49"/>
      <c r="B132" s="87"/>
      <c r="C132" s="12" t="s">
        <v>704</v>
      </c>
      <c r="D132" s="12" t="s">
        <v>159</v>
      </c>
      <c r="E132" s="76">
        <f>62</f>
        <v>62</v>
      </c>
      <c r="F132" s="76">
        <f>23.61</f>
        <v>23.61</v>
      </c>
      <c r="G132" s="55" t="s">
        <v>406</v>
      </c>
      <c r="H132" s="77">
        <f>23.61</f>
        <v>23.61</v>
      </c>
    </row>
    <row r="133" spans="1:8" ht="24" x14ac:dyDescent="0.25">
      <c r="A133" s="49"/>
      <c r="B133" s="87"/>
      <c r="C133" s="12" t="s">
        <v>705</v>
      </c>
      <c r="D133" s="12" t="s">
        <v>160</v>
      </c>
      <c r="E133" s="76">
        <f>308</f>
        <v>308</v>
      </c>
      <c r="F133" s="76">
        <f>299.2</f>
        <v>299.2</v>
      </c>
      <c r="G133" s="55" t="s">
        <v>689</v>
      </c>
      <c r="H133" s="77">
        <f>299.2</f>
        <v>299.2</v>
      </c>
    </row>
    <row r="134" spans="1:8" ht="24" x14ac:dyDescent="0.25">
      <c r="A134" s="49"/>
      <c r="B134" s="87"/>
      <c r="C134" s="12" t="s">
        <v>706</v>
      </c>
      <c r="D134" s="12" t="s">
        <v>161</v>
      </c>
      <c r="E134" s="76">
        <f>2667.45</f>
        <v>2667.45</v>
      </c>
      <c r="F134" s="76">
        <f>1045.26</f>
        <v>1045.26</v>
      </c>
      <c r="G134" s="55" t="s">
        <v>690</v>
      </c>
      <c r="H134" s="77">
        <f>1045.26</f>
        <v>1045.26</v>
      </c>
    </row>
    <row r="135" spans="1:8" ht="24" x14ac:dyDescent="0.25">
      <c r="A135" s="49"/>
      <c r="B135" s="87"/>
      <c r="C135" s="12" t="s">
        <v>707</v>
      </c>
      <c r="D135" s="12" t="s">
        <v>162</v>
      </c>
      <c r="E135" s="76">
        <f>1027</f>
        <v>1027</v>
      </c>
      <c r="F135" s="76">
        <f>0</f>
        <v>0</v>
      </c>
      <c r="G135" s="55" t="s">
        <v>59</v>
      </c>
      <c r="H135" s="77">
        <f>0</f>
        <v>0</v>
      </c>
    </row>
    <row r="136" spans="1:8" ht="24" x14ac:dyDescent="0.25">
      <c r="A136" s="49"/>
      <c r="B136" s="87"/>
      <c r="C136" s="13" t="s">
        <v>49</v>
      </c>
      <c r="D136" s="13" t="s">
        <v>163</v>
      </c>
      <c r="E136" s="78">
        <f>E137</f>
        <v>0</v>
      </c>
      <c r="F136" s="78">
        <f>F137</f>
        <v>0</v>
      </c>
      <c r="G136" s="60" t="s">
        <v>13</v>
      </c>
      <c r="H136" s="79">
        <f>H137</f>
        <v>0</v>
      </c>
    </row>
    <row r="137" spans="1:8" ht="24" x14ac:dyDescent="0.25">
      <c r="A137" s="49"/>
      <c r="B137" s="87"/>
      <c r="C137" s="12" t="s">
        <v>26</v>
      </c>
      <c r="D137" s="12" t="s">
        <v>165</v>
      </c>
      <c r="E137" s="76">
        <f>E138</f>
        <v>0</v>
      </c>
      <c r="F137" s="76">
        <f>F138</f>
        <v>0</v>
      </c>
      <c r="G137" s="55" t="s">
        <v>13</v>
      </c>
      <c r="H137" s="77">
        <f>H138</f>
        <v>0</v>
      </c>
    </row>
    <row r="138" spans="1:8" ht="60" x14ac:dyDescent="0.25">
      <c r="A138" s="49"/>
      <c r="B138" s="87"/>
      <c r="C138" s="12" t="s">
        <v>619</v>
      </c>
      <c r="D138" s="12" t="s">
        <v>166</v>
      </c>
      <c r="E138" s="76">
        <f>E139+E140</f>
        <v>0</v>
      </c>
      <c r="F138" s="76">
        <f>F139+F140</f>
        <v>0</v>
      </c>
      <c r="G138" s="55" t="s">
        <v>13</v>
      </c>
      <c r="H138" s="77">
        <f>H139+H140</f>
        <v>0</v>
      </c>
    </row>
    <row r="139" spans="1:8" ht="24" x14ac:dyDescent="0.25">
      <c r="A139" s="49"/>
      <c r="B139" s="87"/>
      <c r="C139" s="12" t="s">
        <v>708</v>
      </c>
      <c r="D139" s="12" t="s">
        <v>167</v>
      </c>
      <c r="E139" s="76">
        <f>0</f>
        <v>0</v>
      </c>
      <c r="F139" s="76">
        <f>0</f>
        <v>0</v>
      </c>
      <c r="G139" s="55" t="s">
        <v>13</v>
      </c>
      <c r="H139" s="77">
        <v>0</v>
      </c>
    </row>
    <row r="140" spans="1:8" ht="24" x14ac:dyDescent="0.25">
      <c r="A140" s="49"/>
      <c r="B140" s="87"/>
      <c r="C140" s="12" t="s">
        <v>709</v>
      </c>
      <c r="D140" s="12" t="s">
        <v>168</v>
      </c>
      <c r="E140" s="76">
        <f>0</f>
        <v>0</v>
      </c>
      <c r="F140" s="76">
        <f>0</f>
        <v>0</v>
      </c>
      <c r="G140" s="55" t="s">
        <v>13</v>
      </c>
      <c r="H140" s="77">
        <v>0</v>
      </c>
    </row>
    <row r="141" spans="1:8" ht="24" x14ac:dyDescent="0.25">
      <c r="A141" s="49"/>
      <c r="B141" s="87"/>
      <c r="C141" s="13" t="s">
        <v>53</v>
      </c>
      <c r="D141" s="13" t="s">
        <v>169</v>
      </c>
      <c r="E141" s="78">
        <f>E142+E144</f>
        <v>0</v>
      </c>
      <c r="F141" s="78">
        <f>F142+F144</f>
        <v>0</v>
      </c>
      <c r="G141" s="60" t="s">
        <v>13</v>
      </c>
      <c r="H141" s="79">
        <f>H142+H144</f>
        <v>0</v>
      </c>
    </row>
    <row r="142" spans="1:8" ht="24" x14ac:dyDescent="0.25">
      <c r="A142" s="49"/>
      <c r="B142" s="87"/>
      <c r="C142" s="12" t="s">
        <v>26</v>
      </c>
      <c r="D142" s="12" t="s">
        <v>170</v>
      </c>
      <c r="E142" s="76">
        <f>E143</f>
        <v>0</v>
      </c>
      <c r="F142" s="76">
        <f>F143</f>
        <v>0</v>
      </c>
      <c r="G142" s="55" t="s">
        <v>13</v>
      </c>
      <c r="H142" s="77">
        <f>H143</f>
        <v>0</v>
      </c>
    </row>
    <row r="143" spans="1:8" ht="24" x14ac:dyDescent="0.25">
      <c r="A143" s="49"/>
      <c r="B143" s="87"/>
      <c r="C143" s="12" t="s">
        <v>622</v>
      </c>
      <c r="D143" s="12" t="s">
        <v>171</v>
      </c>
      <c r="E143" s="76">
        <f>0</f>
        <v>0</v>
      </c>
      <c r="F143" s="76">
        <f>0</f>
        <v>0</v>
      </c>
      <c r="G143" s="55" t="s">
        <v>13</v>
      </c>
      <c r="H143" s="77">
        <f>0</f>
        <v>0</v>
      </c>
    </row>
    <row r="144" spans="1:8" ht="24" x14ac:dyDescent="0.25">
      <c r="A144" s="49"/>
      <c r="B144" s="87"/>
      <c r="C144" s="12" t="s">
        <v>46</v>
      </c>
      <c r="D144" s="12" t="s">
        <v>172</v>
      </c>
      <c r="E144" s="76">
        <f>E145+E146</f>
        <v>0</v>
      </c>
      <c r="F144" s="76">
        <f>F145+F146</f>
        <v>0</v>
      </c>
      <c r="G144" s="55" t="s">
        <v>13</v>
      </c>
      <c r="H144" s="77">
        <f>H145+H146</f>
        <v>0</v>
      </c>
    </row>
    <row r="145" spans="1:8" ht="24" x14ac:dyDescent="0.25">
      <c r="A145" s="49"/>
      <c r="B145" s="87"/>
      <c r="C145" s="12" t="s">
        <v>627</v>
      </c>
      <c r="D145" s="12" t="s">
        <v>173</v>
      </c>
      <c r="E145" s="76">
        <f>0</f>
        <v>0</v>
      </c>
      <c r="F145" s="76">
        <f>0</f>
        <v>0</v>
      </c>
      <c r="G145" s="55" t="s">
        <v>13</v>
      </c>
      <c r="H145" s="77">
        <f>0</f>
        <v>0</v>
      </c>
    </row>
    <row r="146" spans="1:8" ht="48" x14ac:dyDescent="0.25">
      <c r="A146" s="61"/>
      <c r="B146" s="88"/>
      <c r="C146" s="12" t="s">
        <v>659</v>
      </c>
      <c r="D146" s="12" t="s">
        <v>174</v>
      </c>
      <c r="E146" s="76">
        <f>0</f>
        <v>0</v>
      </c>
      <c r="F146" s="76">
        <f>0</f>
        <v>0</v>
      </c>
      <c r="G146" s="55" t="s">
        <v>13</v>
      </c>
      <c r="H146" s="77">
        <f>0</f>
        <v>0</v>
      </c>
    </row>
    <row r="147" spans="1:8" ht="20.100000000000001" customHeight="1" thickBot="1" x14ac:dyDescent="0.3">
      <c r="A147" s="89" t="s">
        <v>22</v>
      </c>
      <c r="B147" s="90"/>
      <c r="C147" s="90"/>
      <c r="D147" s="90"/>
      <c r="E147" s="91">
        <f>E106+E121+E125+E136+E141</f>
        <v>71936.27</v>
      </c>
      <c r="F147" s="91">
        <f>F106+F121+F125+F136+F141</f>
        <v>43213.919999999998</v>
      </c>
      <c r="G147" s="67" t="s">
        <v>691</v>
      </c>
      <c r="H147" s="92">
        <f>H106+H121+H125+H136+H141</f>
        <v>43213.919999999998</v>
      </c>
    </row>
    <row r="148" spans="1:8" x14ac:dyDescent="0.25">
      <c r="A148" s="93">
        <v>5</v>
      </c>
      <c r="B148" s="94" t="s">
        <v>175</v>
      </c>
      <c r="C148" s="45" t="s">
        <v>11</v>
      </c>
      <c r="D148" s="45" t="s">
        <v>176</v>
      </c>
      <c r="E148" s="71">
        <f>E149</f>
        <v>90359.88</v>
      </c>
      <c r="F148" s="71">
        <f>F149</f>
        <v>60245.630000000005</v>
      </c>
      <c r="G148" s="72" t="s">
        <v>710</v>
      </c>
      <c r="H148" s="71">
        <f>H149</f>
        <v>60245.630000000005</v>
      </c>
    </row>
    <row r="149" spans="1:8" ht="36" x14ac:dyDescent="0.25">
      <c r="A149" s="95"/>
      <c r="B149" s="96"/>
      <c r="C149" s="12" t="s">
        <v>26</v>
      </c>
      <c r="D149" s="12" t="s">
        <v>177</v>
      </c>
      <c r="E149" s="76">
        <f>E150+E151+E152</f>
        <v>90359.88</v>
      </c>
      <c r="F149" s="76">
        <f>F150+F151+F152</f>
        <v>60245.630000000005</v>
      </c>
      <c r="G149" s="55" t="s">
        <v>710</v>
      </c>
      <c r="H149" s="76">
        <f>H150+H151+H152</f>
        <v>60245.630000000005</v>
      </c>
    </row>
    <row r="150" spans="1:8" ht="36" x14ac:dyDescent="0.25">
      <c r="A150" s="95"/>
      <c r="B150" s="96"/>
      <c r="C150" s="12" t="s">
        <v>619</v>
      </c>
      <c r="D150" s="12" t="s">
        <v>178</v>
      </c>
      <c r="E150" s="76">
        <f>66677.88+12000</f>
        <v>78677.88</v>
      </c>
      <c r="F150" s="76">
        <f>47801.54+8250</f>
        <v>56051.54</v>
      </c>
      <c r="G150" s="55" t="s">
        <v>711</v>
      </c>
      <c r="H150" s="76">
        <f>47801.54+8250</f>
        <v>56051.54</v>
      </c>
    </row>
    <row r="151" spans="1:8" ht="24" x14ac:dyDescent="0.25">
      <c r="A151" s="95"/>
      <c r="B151" s="96"/>
      <c r="C151" s="12" t="s">
        <v>620</v>
      </c>
      <c r="D151" s="12" t="s">
        <v>179</v>
      </c>
      <c r="E151" s="76">
        <f>0</f>
        <v>0</v>
      </c>
      <c r="F151" s="76">
        <f>0</f>
        <v>0</v>
      </c>
      <c r="G151" s="55" t="s">
        <v>13</v>
      </c>
      <c r="H151" s="76">
        <f>0</f>
        <v>0</v>
      </c>
    </row>
    <row r="152" spans="1:8" ht="24" x14ac:dyDescent="0.25">
      <c r="A152" s="95"/>
      <c r="B152" s="96"/>
      <c r="C152" s="12" t="s">
        <v>656</v>
      </c>
      <c r="D152" s="12" t="s">
        <v>180</v>
      </c>
      <c r="E152" s="76">
        <f>11682</f>
        <v>11682</v>
      </c>
      <c r="F152" s="76">
        <f>4194.09</f>
        <v>4194.09</v>
      </c>
      <c r="G152" s="55" t="s">
        <v>712</v>
      </c>
      <c r="H152" s="76">
        <f>4194.09</f>
        <v>4194.09</v>
      </c>
    </row>
    <row r="153" spans="1:8" x14ac:dyDescent="0.25">
      <c r="A153" s="95"/>
      <c r="B153" s="96"/>
      <c r="C153" s="13" t="s">
        <v>30</v>
      </c>
      <c r="D153" s="13" t="s">
        <v>181</v>
      </c>
      <c r="E153" s="78">
        <f>E154+E156</f>
        <v>55166.080000000002</v>
      </c>
      <c r="F153" s="78">
        <f>F154+F156</f>
        <v>28838.25</v>
      </c>
      <c r="G153" s="60" t="s">
        <v>713</v>
      </c>
      <c r="H153" s="78">
        <f>H154+H156</f>
        <v>28838.25</v>
      </c>
    </row>
    <row r="154" spans="1:8" x14ac:dyDescent="0.25">
      <c r="A154" s="95"/>
      <c r="B154" s="96"/>
      <c r="C154" s="12" t="s">
        <v>26</v>
      </c>
      <c r="D154" s="12" t="s">
        <v>182</v>
      </c>
      <c r="E154" s="76">
        <f>E155</f>
        <v>45542.49</v>
      </c>
      <c r="F154" s="76">
        <f>F155</f>
        <v>28838.25</v>
      </c>
      <c r="G154" s="55" t="s">
        <v>714</v>
      </c>
      <c r="H154" s="76">
        <f>H155</f>
        <v>28838.25</v>
      </c>
    </row>
    <row r="155" spans="1:8" ht="36" x14ac:dyDescent="0.25">
      <c r="A155" s="95"/>
      <c r="B155" s="96"/>
      <c r="C155" s="12" t="s">
        <v>619</v>
      </c>
      <c r="D155" s="12" t="s">
        <v>183</v>
      </c>
      <c r="E155" s="76">
        <f>45542.49</f>
        <v>45542.49</v>
      </c>
      <c r="F155" s="76">
        <f>28838.25</f>
        <v>28838.25</v>
      </c>
      <c r="G155" s="55" t="s">
        <v>714</v>
      </c>
      <c r="H155" s="76">
        <f>28838.25</f>
        <v>28838.25</v>
      </c>
    </row>
    <row r="156" spans="1:8" x14ac:dyDescent="0.25">
      <c r="A156" s="95"/>
      <c r="B156" s="96"/>
      <c r="C156" s="12" t="s">
        <v>14</v>
      </c>
      <c r="D156" s="12" t="s">
        <v>184</v>
      </c>
      <c r="E156" s="76">
        <f>E157</f>
        <v>9623.59</v>
      </c>
      <c r="F156" s="76">
        <f>F157</f>
        <v>0</v>
      </c>
      <c r="G156" s="55" t="s">
        <v>59</v>
      </c>
      <c r="H156" s="76">
        <f>H157</f>
        <v>0</v>
      </c>
    </row>
    <row r="157" spans="1:8" x14ac:dyDescent="0.25">
      <c r="A157" s="95"/>
      <c r="B157" s="96"/>
      <c r="C157" s="12" t="s">
        <v>678</v>
      </c>
      <c r="D157" s="12" t="s">
        <v>185</v>
      </c>
      <c r="E157" s="76">
        <f>1953.59+7670</f>
        <v>9623.59</v>
      </c>
      <c r="F157" s="76">
        <f>0</f>
        <v>0</v>
      </c>
      <c r="G157" s="55" t="s">
        <v>59</v>
      </c>
      <c r="H157" s="76">
        <f>0</f>
        <v>0</v>
      </c>
    </row>
    <row r="158" spans="1:8" x14ac:dyDescent="0.25">
      <c r="A158" s="95"/>
      <c r="B158" s="96"/>
      <c r="C158" s="13" t="s">
        <v>37</v>
      </c>
      <c r="D158" s="13" t="s">
        <v>50</v>
      </c>
      <c r="E158" s="78">
        <f>E159</f>
        <v>4821.1099999999997</v>
      </c>
      <c r="F158" s="78">
        <f>F159</f>
        <v>3088.05</v>
      </c>
      <c r="G158" s="60" t="s">
        <v>715</v>
      </c>
      <c r="H158" s="78">
        <f>H159</f>
        <v>3088.05</v>
      </c>
    </row>
    <row r="159" spans="1:8" ht="24" x14ac:dyDescent="0.25">
      <c r="A159" s="95"/>
      <c r="B159" s="96"/>
      <c r="C159" s="12" t="s">
        <v>26</v>
      </c>
      <c r="D159" s="12" t="s">
        <v>51</v>
      </c>
      <c r="E159" s="76">
        <f>E160</f>
        <v>4821.1099999999997</v>
      </c>
      <c r="F159" s="76">
        <f>F160</f>
        <v>3088.05</v>
      </c>
      <c r="G159" s="55" t="s">
        <v>715</v>
      </c>
      <c r="H159" s="76">
        <f>H160</f>
        <v>3088.05</v>
      </c>
    </row>
    <row r="160" spans="1:8" ht="24" x14ac:dyDescent="0.25">
      <c r="A160" s="95"/>
      <c r="B160" s="96"/>
      <c r="C160" s="12" t="s">
        <v>619</v>
      </c>
      <c r="D160" s="12" t="s">
        <v>186</v>
      </c>
      <c r="E160" s="76">
        <f>4821.11</f>
        <v>4821.1099999999997</v>
      </c>
      <c r="F160" s="76">
        <f>3088.05</f>
        <v>3088.05</v>
      </c>
      <c r="G160" s="55" t="s">
        <v>716</v>
      </c>
      <c r="H160" s="76">
        <f>3088.05</f>
        <v>3088.05</v>
      </c>
    </row>
    <row r="161" spans="1:8" ht="20.100000000000001" customHeight="1" thickBot="1" x14ac:dyDescent="0.3">
      <c r="A161" s="89" t="s">
        <v>22</v>
      </c>
      <c r="B161" s="90"/>
      <c r="C161" s="90"/>
      <c r="D161" s="90"/>
      <c r="E161" s="91">
        <f>E148+E153+E158</f>
        <v>150347.07</v>
      </c>
      <c r="F161" s="91">
        <f>F148+F153+F158</f>
        <v>92171.930000000008</v>
      </c>
      <c r="G161" s="67" t="s">
        <v>717</v>
      </c>
      <c r="H161" s="91">
        <f>H148+H153+H158</f>
        <v>92171.930000000008</v>
      </c>
    </row>
    <row r="162" spans="1:8" ht="24" x14ac:dyDescent="0.25">
      <c r="A162" s="69">
        <v>6</v>
      </c>
      <c r="B162" s="94" t="s">
        <v>187</v>
      </c>
      <c r="C162" s="44" t="s">
        <v>37</v>
      </c>
      <c r="D162" s="45" t="s">
        <v>188</v>
      </c>
      <c r="E162" s="46">
        <f>E163</f>
        <v>1636</v>
      </c>
      <c r="F162" s="46">
        <f>F163</f>
        <v>556.70000000000005</v>
      </c>
      <c r="G162" s="47" t="s">
        <v>718</v>
      </c>
      <c r="H162" s="48">
        <f>H163</f>
        <v>556.70000000000005</v>
      </c>
    </row>
    <row r="163" spans="1:8" ht="36" x14ac:dyDescent="0.25">
      <c r="A163" s="74"/>
      <c r="B163" s="96"/>
      <c r="C163" s="51" t="s">
        <v>26</v>
      </c>
      <c r="D163" s="12" t="s">
        <v>189</v>
      </c>
      <c r="E163" s="52">
        <f>E164</f>
        <v>1636</v>
      </c>
      <c r="F163" s="52">
        <f>F164</f>
        <v>556.70000000000005</v>
      </c>
      <c r="G163" s="53" t="s">
        <v>718</v>
      </c>
      <c r="H163" s="54">
        <f>H164</f>
        <v>556.70000000000005</v>
      </c>
    </row>
    <row r="164" spans="1:8" ht="36" x14ac:dyDescent="0.25">
      <c r="A164" s="74"/>
      <c r="B164" s="96"/>
      <c r="C164" s="51" t="s">
        <v>619</v>
      </c>
      <c r="D164" s="12" t="s">
        <v>190</v>
      </c>
      <c r="E164" s="52">
        <f>1636</f>
        <v>1636</v>
      </c>
      <c r="F164" s="52">
        <f>556.7</f>
        <v>556.70000000000005</v>
      </c>
      <c r="G164" s="53" t="s">
        <v>718</v>
      </c>
      <c r="H164" s="54">
        <f>556.7</f>
        <v>556.70000000000005</v>
      </c>
    </row>
    <row r="165" spans="1:8" ht="20.100000000000001" customHeight="1" thickBot="1" x14ac:dyDescent="0.3">
      <c r="A165" s="97" t="s">
        <v>22</v>
      </c>
      <c r="B165" s="98"/>
      <c r="C165" s="98"/>
      <c r="D165" s="98"/>
      <c r="E165" s="66">
        <f>E162</f>
        <v>1636</v>
      </c>
      <c r="F165" s="66">
        <f>F162</f>
        <v>556.70000000000005</v>
      </c>
      <c r="G165" s="99" t="s">
        <v>718</v>
      </c>
      <c r="H165" s="68">
        <f>H162</f>
        <v>556.70000000000005</v>
      </c>
    </row>
    <row r="166" spans="1:8" x14ac:dyDescent="0.25">
      <c r="A166" s="100">
        <v>7</v>
      </c>
      <c r="B166" s="86" t="s">
        <v>191</v>
      </c>
      <c r="C166" s="45" t="s">
        <v>11</v>
      </c>
      <c r="D166" s="45" t="s">
        <v>192</v>
      </c>
      <c r="E166" s="71">
        <f>E167+E170</f>
        <v>300</v>
      </c>
      <c r="F166" s="71">
        <f>F167+F170</f>
        <v>100</v>
      </c>
      <c r="G166" s="72" t="s">
        <v>496</v>
      </c>
      <c r="H166" s="73">
        <f>H167+H170</f>
        <v>100</v>
      </c>
    </row>
    <row r="167" spans="1:8" ht="24" x14ac:dyDescent="0.25">
      <c r="A167" s="101"/>
      <c r="B167" s="87"/>
      <c r="C167" s="12" t="s">
        <v>26</v>
      </c>
      <c r="D167" s="12" t="s">
        <v>193</v>
      </c>
      <c r="E167" s="76">
        <f>E168+E169</f>
        <v>250</v>
      </c>
      <c r="F167" s="76">
        <f>F168+F169</f>
        <v>100</v>
      </c>
      <c r="G167" s="55" t="s">
        <v>634</v>
      </c>
      <c r="H167" s="77">
        <f>H168+H169</f>
        <v>100</v>
      </c>
    </row>
    <row r="168" spans="1:8" x14ac:dyDescent="0.25">
      <c r="A168" s="101"/>
      <c r="B168" s="87"/>
      <c r="C168" s="12" t="s">
        <v>619</v>
      </c>
      <c r="D168" s="12" t="s">
        <v>194</v>
      </c>
      <c r="E168" s="76">
        <f>100</f>
        <v>100</v>
      </c>
      <c r="F168" s="76">
        <f>100</f>
        <v>100</v>
      </c>
      <c r="G168" s="55" t="s">
        <v>719</v>
      </c>
      <c r="H168" s="77">
        <f>100</f>
        <v>100</v>
      </c>
    </row>
    <row r="169" spans="1:8" ht="84" x14ac:dyDescent="0.25">
      <c r="A169" s="101"/>
      <c r="B169" s="87"/>
      <c r="C169" s="12" t="s">
        <v>620</v>
      </c>
      <c r="D169" s="12" t="s">
        <v>195</v>
      </c>
      <c r="E169" s="76">
        <f>150</f>
        <v>150</v>
      </c>
      <c r="F169" s="76">
        <f>0</f>
        <v>0</v>
      </c>
      <c r="G169" s="55" t="s">
        <v>59</v>
      </c>
      <c r="H169" s="77">
        <f>0</f>
        <v>0</v>
      </c>
    </row>
    <row r="170" spans="1:8" x14ac:dyDescent="0.25">
      <c r="A170" s="101"/>
      <c r="B170" s="87"/>
      <c r="C170" s="12" t="s">
        <v>46</v>
      </c>
      <c r="D170" s="12" t="s">
        <v>196</v>
      </c>
      <c r="E170" s="76">
        <f>E171</f>
        <v>50</v>
      </c>
      <c r="F170" s="76">
        <f>F171</f>
        <v>0</v>
      </c>
      <c r="G170" s="55" t="s">
        <v>59</v>
      </c>
      <c r="H170" s="77">
        <f>H171</f>
        <v>0</v>
      </c>
    </row>
    <row r="171" spans="1:8" x14ac:dyDescent="0.25">
      <c r="A171" s="102"/>
      <c r="B171" s="88"/>
      <c r="C171" s="12" t="s">
        <v>627</v>
      </c>
      <c r="D171" s="12" t="s">
        <v>196</v>
      </c>
      <c r="E171" s="76">
        <f>50</f>
        <v>50</v>
      </c>
      <c r="F171" s="76">
        <f>0</f>
        <v>0</v>
      </c>
      <c r="G171" s="55" t="s">
        <v>59</v>
      </c>
      <c r="H171" s="77">
        <f>0</f>
        <v>0</v>
      </c>
    </row>
    <row r="172" spans="1:8" ht="20.100000000000001" customHeight="1" thickBot="1" x14ac:dyDescent="0.3">
      <c r="A172" s="103" t="s">
        <v>22</v>
      </c>
      <c r="B172" s="104"/>
      <c r="C172" s="104"/>
      <c r="D172" s="105"/>
      <c r="E172" s="91">
        <f>E166</f>
        <v>300</v>
      </c>
      <c r="F172" s="91">
        <f>F166</f>
        <v>100</v>
      </c>
      <c r="G172" s="67" t="s">
        <v>496</v>
      </c>
      <c r="H172" s="92">
        <f>H166</f>
        <v>100</v>
      </c>
    </row>
    <row r="173" spans="1:8" x14ac:dyDescent="0.25">
      <c r="A173" s="69">
        <v>8</v>
      </c>
      <c r="B173" s="94" t="s">
        <v>197</v>
      </c>
      <c r="C173" s="45" t="s">
        <v>11</v>
      </c>
      <c r="D173" s="45" t="s">
        <v>198</v>
      </c>
      <c r="E173" s="71">
        <f>E174+E178+E182+E187+E190+E193</f>
        <v>26603.040000000001</v>
      </c>
      <c r="F173" s="71">
        <f>F174+F178+F182+F187+F190+F193</f>
        <v>5889.4199999999992</v>
      </c>
      <c r="G173" s="72" t="s">
        <v>720</v>
      </c>
      <c r="H173" s="73">
        <f>H174+H178+H182+H187+H190+H193</f>
        <v>5889.4199999999992</v>
      </c>
    </row>
    <row r="174" spans="1:8" ht="36" x14ac:dyDescent="0.25">
      <c r="A174" s="74"/>
      <c r="B174" s="96"/>
      <c r="C174" s="12" t="s">
        <v>26</v>
      </c>
      <c r="D174" s="12" t="s">
        <v>199</v>
      </c>
      <c r="E174" s="76">
        <f>E175+E176+E177</f>
        <v>11751.03</v>
      </c>
      <c r="F174" s="76">
        <f>F175+F176+F177</f>
        <v>4605.09</v>
      </c>
      <c r="G174" s="55" t="s">
        <v>690</v>
      </c>
      <c r="H174" s="77">
        <f>H175+H176+H177</f>
        <v>4605.09</v>
      </c>
    </row>
    <row r="175" spans="1:8" ht="24" x14ac:dyDescent="0.25">
      <c r="A175" s="74"/>
      <c r="B175" s="96"/>
      <c r="C175" s="12" t="s">
        <v>619</v>
      </c>
      <c r="D175" s="12" t="s">
        <v>200</v>
      </c>
      <c r="E175" s="76">
        <f>0</f>
        <v>0</v>
      </c>
      <c r="F175" s="76">
        <f>0</f>
        <v>0</v>
      </c>
      <c r="G175" s="55" t="s">
        <v>13</v>
      </c>
      <c r="H175" s="77">
        <f>0</f>
        <v>0</v>
      </c>
    </row>
    <row r="176" spans="1:8" ht="36" x14ac:dyDescent="0.25">
      <c r="A176" s="74"/>
      <c r="B176" s="96"/>
      <c r="C176" s="12" t="s">
        <v>620</v>
      </c>
      <c r="D176" s="12" t="s">
        <v>201</v>
      </c>
      <c r="E176" s="76">
        <f>106</f>
        <v>106</v>
      </c>
      <c r="F176" s="76">
        <f>28.8</f>
        <v>28.8</v>
      </c>
      <c r="G176" s="55" t="s">
        <v>202</v>
      </c>
      <c r="H176" s="77">
        <f>28.8</f>
        <v>28.8</v>
      </c>
    </row>
    <row r="177" spans="1:8" ht="48" x14ac:dyDescent="0.25">
      <c r="A177" s="74"/>
      <c r="B177" s="96"/>
      <c r="C177" s="12" t="s">
        <v>656</v>
      </c>
      <c r="D177" s="12" t="s">
        <v>203</v>
      </c>
      <c r="E177" s="76">
        <f>11645.03</f>
        <v>11645.03</v>
      </c>
      <c r="F177" s="76">
        <f>4576.29</f>
        <v>4576.29</v>
      </c>
      <c r="G177" s="55" t="s">
        <v>721</v>
      </c>
      <c r="H177" s="77">
        <f>4576.29</f>
        <v>4576.29</v>
      </c>
    </row>
    <row r="178" spans="1:8" ht="24" x14ac:dyDescent="0.25">
      <c r="A178" s="74"/>
      <c r="B178" s="96"/>
      <c r="C178" s="12" t="s">
        <v>46</v>
      </c>
      <c r="D178" s="12" t="s">
        <v>204</v>
      </c>
      <c r="E178" s="76">
        <f>E179+E180+E181</f>
        <v>646.99</v>
      </c>
      <c r="F178" s="76">
        <f>F179+F180+F181</f>
        <v>595.36</v>
      </c>
      <c r="G178" s="55" t="s">
        <v>205</v>
      </c>
      <c r="H178" s="77">
        <f>H179+H180+H181</f>
        <v>595.36</v>
      </c>
    </row>
    <row r="179" spans="1:8" x14ac:dyDescent="0.25">
      <c r="A179" s="74"/>
      <c r="B179" s="96"/>
      <c r="C179" s="12" t="s">
        <v>659</v>
      </c>
      <c r="D179" s="12" t="s">
        <v>206</v>
      </c>
      <c r="E179" s="76">
        <f>601.99</f>
        <v>601.99</v>
      </c>
      <c r="F179" s="76">
        <f>595.36</f>
        <v>595.36</v>
      </c>
      <c r="G179" s="55" t="s">
        <v>207</v>
      </c>
      <c r="H179" s="77">
        <f>595.36</f>
        <v>595.36</v>
      </c>
    </row>
    <row r="180" spans="1:8" ht="24" x14ac:dyDescent="0.25">
      <c r="A180" s="74"/>
      <c r="B180" s="96"/>
      <c r="C180" s="12" t="s">
        <v>660</v>
      </c>
      <c r="D180" s="12" t="s">
        <v>208</v>
      </c>
      <c r="E180" s="76">
        <f>45</f>
        <v>45</v>
      </c>
      <c r="F180" s="76">
        <f>0</f>
        <v>0</v>
      </c>
      <c r="G180" s="55" t="s">
        <v>59</v>
      </c>
      <c r="H180" s="77">
        <f>0</f>
        <v>0</v>
      </c>
    </row>
    <row r="181" spans="1:8" ht="24" x14ac:dyDescent="0.25">
      <c r="A181" s="74"/>
      <c r="B181" s="96"/>
      <c r="C181" s="12" t="s">
        <v>661</v>
      </c>
      <c r="D181" s="12" t="s">
        <v>209</v>
      </c>
      <c r="E181" s="76">
        <f>0</f>
        <v>0</v>
      </c>
      <c r="F181" s="76">
        <f>0</f>
        <v>0</v>
      </c>
      <c r="G181" s="55" t="s">
        <v>13</v>
      </c>
      <c r="H181" s="77">
        <f>0</f>
        <v>0</v>
      </c>
    </row>
    <row r="182" spans="1:8" ht="36" x14ac:dyDescent="0.25">
      <c r="A182" s="74"/>
      <c r="B182" s="96"/>
      <c r="C182" s="12" t="s">
        <v>14</v>
      </c>
      <c r="D182" s="12" t="s">
        <v>210</v>
      </c>
      <c r="E182" s="76">
        <f>E183+E184+E185+E186</f>
        <v>4468</v>
      </c>
      <c r="F182" s="76">
        <f>F183+F184+F185+F186</f>
        <v>29.82</v>
      </c>
      <c r="G182" s="55" t="s">
        <v>722</v>
      </c>
      <c r="H182" s="77">
        <f>H183+H184+H185+H186</f>
        <v>29.82</v>
      </c>
    </row>
    <row r="183" spans="1:8" ht="108" x14ac:dyDescent="0.25">
      <c r="A183" s="74"/>
      <c r="B183" s="96"/>
      <c r="C183" s="12" t="s">
        <v>617</v>
      </c>
      <c r="D183" s="12" t="s">
        <v>211</v>
      </c>
      <c r="E183" s="76">
        <f>917.1+3482.9</f>
        <v>4400</v>
      </c>
      <c r="F183" s="76">
        <f>29.82+0</f>
        <v>29.82</v>
      </c>
      <c r="G183" s="55" t="s">
        <v>722</v>
      </c>
      <c r="H183" s="77">
        <f>29.82+0</f>
        <v>29.82</v>
      </c>
    </row>
    <row r="184" spans="1:8" ht="96" x14ac:dyDescent="0.25">
      <c r="A184" s="74"/>
      <c r="B184" s="96"/>
      <c r="C184" s="12" t="s">
        <v>618</v>
      </c>
      <c r="D184" s="12" t="s">
        <v>212</v>
      </c>
      <c r="E184" s="76">
        <f>0</f>
        <v>0</v>
      </c>
      <c r="F184" s="76">
        <f>0</f>
        <v>0</v>
      </c>
      <c r="G184" s="55" t="s">
        <v>13</v>
      </c>
      <c r="H184" s="77">
        <f>0</f>
        <v>0</v>
      </c>
    </row>
    <row r="185" spans="1:8" ht="36" x14ac:dyDescent="0.25">
      <c r="A185" s="74"/>
      <c r="B185" s="96"/>
      <c r="C185" s="12" t="s">
        <v>678</v>
      </c>
      <c r="D185" s="12" t="s">
        <v>213</v>
      </c>
      <c r="E185" s="76">
        <f>12</f>
        <v>12</v>
      </c>
      <c r="F185" s="76">
        <f>0</f>
        <v>0</v>
      </c>
      <c r="G185" s="55" t="s">
        <v>59</v>
      </c>
      <c r="H185" s="77">
        <f>0</f>
        <v>0</v>
      </c>
    </row>
    <row r="186" spans="1:8" x14ac:dyDescent="0.25">
      <c r="A186" s="74"/>
      <c r="B186" s="96"/>
      <c r="C186" s="12" t="s">
        <v>669</v>
      </c>
      <c r="D186" s="12" t="s">
        <v>214</v>
      </c>
      <c r="E186" s="76">
        <f>56</f>
        <v>56</v>
      </c>
      <c r="F186" s="76">
        <f>0</f>
        <v>0</v>
      </c>
      <c r="G186" s="55" t="s">
        <v>59</v>
      </c>
      <c r="H186" s="77">
        <f>0</f>
        <v>0</v>
      </c>
    </row>
    <row r="187" spans="1:8" ht="36" x14ac:dyDescent="0.25">
      <c r="A187" s="74"/>
      <c r="B187" s="96"/>
      <c r="C187" s="12" t="s">
        <v>116</v>
      </c>
      <c r="D187" s="12" t="s">
        <v>215</v>
      </c>
      <c r="E187" s="76">
        <f>E188+E189</f>
        <v>8559.02</v>
      </c>
      <c r="F187" s="76">
        <f>F188+F189</f>
        <v>36.200000000000003</v>
      </c>
      <c r="G187" s="55" t="s">
        <v>724</v>
      </c>
      <c r="H187" s="77">
        <f>H188+H189</f>
        <v>36.200000000000003</v>
      </c>
    </row>
    <row r="188" spans="1:8" ht="24" x14ac:dyDescent="0.25">
      <c r="A188" s="74"/>
      <c r="B188" s="96"/>
      <c r="C188" s="12" t="s">
        <v>743</v>
      </c>
      <c r="D188" s="12" t="s">
        <v>216</v>
      </c>
      <c r="E188" s="76">
        <f>8559.02</f>
        <v>8559.02</v>
      </c>
      <c r="F188" s="76">
        <f>36.2</f>
        <v>36.200000000000003</v>
      </c>
      <c r="G188" s="55" t="s">
        <v>725</v>
      </c>
      <c r="H188" s="77">
        <f>36.2</f>
        <v>36.200000000000003</v>
      </c>
    </row>
    <row r="189" spans="1:8" ht="48" x14ac:dyDescent="0.25">
      <c r="A189" s="74"/>
      <c r="B189" s="96"/>
      <c r="C189" s="12" t="s">
        <v>744</v>
      </c>
      <c r="D189" s="12" t="s">
        <v>217</v>
      </c>
      <c r="E189" s="76">
        <f>0</f>
        <v>0</v>
      </c>
      <c r="F189" s="76">
        <f>0</f>
        <v>0</v>
      </c>
      <c r="G189" s="55" t="s">
        <v>13</v>
      </c>
      <c r="H189" s="77">
        <f>0</f>
        <v>0</v>
      </c>
    </row>
    <row r="190" spans="1:8" ht="72" x14ac:dyDescent="0.25">
      <c r="A190" s="74"/>
      <c r="B190" s="96"/>
      <c r="C190" s="12" t="s">
        <v>39</v>
      </c>
      <c r="D190" s="12" t="s">
        <v>218</v>
      </c>
      <c r="E190" s="76">
        <f>E191+E192</f>
        <v>373</v>
      </c>
      <c r="F190" s="76">
        <f>F191+F192</f>
        <v>23.21</v>
      </c>
      <c r="G190" s="55" t="s">
        <v>219</v>
      </c>
      <c r="H190" s="77">
        <f>H191+H192</f>
        <v>23.21</v>
      </c>
    </row>
    <row r="191" spans="1:8" ht="60" x14ac:dyDescent="0.25">
      <c r="A191" s="74"/>
      <c r="B191" s="96"/>
      <c r="C191" s="12" t="s">
        <v>624</v>
      </c>
      <c r="D191" s="12" t="s">
        <v>220</v>
      </c>
      <c r="E191" s="76">
        <f>338.5</f>
        <v>338.5</v>
      </c>
      <c r="F191" s="76">
        <f>0</f>
        <v>0</v>
      </c>
      <c r="G191" s="55" t="s">
        <v>59</v>
      </c>
      <c r="H191" s="77">
        <f>0</f>
        <v>0</v>
      </c>
    </row>
    <row r="192" spans="1:8" ht="120" x14ac:dyDescent="0.25">
      <c r="A192" s="74"/>
      <c r="B192" s="96"/>
      <c r="C192" s="12" t="s">
        <v>745</v>
      </c>
      <c r="D192" s="12" t="s">
        <v>221</v>
      </c>
      <c r="E192" s="76">
        <f>34.5</f>
        <v>34.5</v>
      </c>
      <c r="F192" s="76">
        <f>23.21</f>
        <v>23.21</v>
      </c>
      <c r="G192" s="55" t="s">
        <v>222</v>
      </c>
      <c r="H192" s="77">
        <f>23.21</f>
        <v>23.21</v>
      </c>
    </row>
    <row r="193" spans="1:8" ht="60" x14ac:dyDescent="0.25">
      <c r="A193" s="74"/>
      <c r="B193" s="96"/>
      <c r="C193" s="12" t="s">
        <v>118</v>
      </c>
      <c r="D193" s="12" t="s">
        <v>223</v>
      </c>
      <c r="E193" s="76">
        <f>E194</f>
        <v>805</v>
      </c>
      <c r="F193" s="76">
        <f>F194</f>
        <v>599.74</v>
      </c>
      <c r="G193" s="55" t="s">
        <v>726</v>
      </c>
      <c r="H193" s="77">
        <f>H194</f>
        <v>599.74</v>
      </c>
    </row>
    <row r="194" spans="1:8" ht="48" x14ac:dyDescent="0.25">
      <c r="A194" s="74"/>
      <c r="B194" s="96"/>
      <c r="C194" s="12" t="s">
        <v>746</v>
      </c>
      <c r="D194" s="12" t="s">
        <v>225</v>
      </c>
      <c r="E194" s="76">
        <f>805</f>
        <v>805</v>
      </c>
      <c r="F194" s="76">
        <f>599.74</f>
        <v>599.74</v>
      </c>
      <c r="G194" s="55" t="s">
        <v>726</v>
      </c>
      <c r="H194" s="77">
        <f>599.74</f>
        <v>599.74</v>
      </c>
    </row>
    <row r="195" spans="1:8" ht="24" x14ac:dyDescent="0.25">
      <c r="A195" s="74"/>
      <c r="B195" s="96"/>
      <c r="C195" s="13" t="s">
        <v>24</v>
      </c>
      <c r="D195" s="13" t="s">
        <v>226</v>
      </c>
      <c r="E195" s="78">
        <f>E196+E207+E210</f>
        <v>9197.94</v>
      </c>
      <c r="F195" s="78">
        <f>F196+F207+F210</f>
        <v>1108.56</v>
      </c>
      <c r="G195" s="60" t="s">
        <v>727</v>
      </c>
      <c r="H195" s="79">
        <f>H196+H207+H210</f>
        <v>1108.56</v>
      </c>
    </row>
    <row r="196" spans="1:8" ht="36" x14ac:dyDescent="0.25">
      <c r="A196" s="74"/>
      <c r="B196" s="96"/>
      <c r="C196" s="12" t="s">
        <v>26</v>
      </c>
      <c r="D196" s="12" t="s">
        <v>227</v>
      </c>
      <c r="E196" s="76">
        <f>SUM(E197:E206)</f>
        <v>8285.74</v>
      </c>
      <c r="F196" s="76">
        <f>SUM(F197:F206)</f>
        <v>276.95999999999998</v>
      </c>
      <c r="G196" s="55" t="s">
        <v>728</v>
      </c>
      <c r="H196" s="77">
        <f>SUM(H197:H206)</f>
        <v>276.95999999999998</v>
      </c>
    </row>
    <row r="197" spans="1:8" ht="48" x14ac:dyDescent="0.25">
      <c r="A197" s="74"/>
      <c r="B197" s="96"/>
      <c r="C197" s="12" t="s">
        <v>619</v>
      </c>
      <c r="D197" s="12" t="s">
        <v>228</v>
      </c>
      <c r="E197" s="76">
        <f>4.8</f>
        <v>4.8</v>
      </c>
      <c r="F197" s="76">
        <f>0</f>
        <v>0</v>
      </c>
      <c r="G197" s="55" t="s">
        <v>729</v>
      </c>
      <c r="H197" s="77">
        <f>0</f>
        <v>0</v>
      </c>
    </row>
    <row r="198" spans="1:8" x14ac:dyDescent="0.25">
      <c r="A198" s="74"/>
      <c r="B198" s="96"/>
      <c r="C198" s="12" t="s">
        <v>620</v>
      </c>
      <c r="D198" s="12" t="s">
        <v>229</v>
      </c>
      <c r="E198" s="76">
        <f>60</f>
        <v>60</v>
      </c>
      <c r="F198" s="76">
        <f>25</f>
        <v>25</v>
      </c>
      <c r="G198" s="55" t="s">
        <v>730</v>
      </c>
      <c r="H198" s="77">
        <f>25</f>
        <v>25</v>
      </c>
    </row>
    <row r="199" spans="1:8" ht="36" x14ac:dyDescent="0.25">
      <c r="A199" s="74"/>
      <c r="B199" s="96"/>
      <c r="C199" s="12" t="s">
        <v>656</v>
      </c>
      <c r="D199" s="12" t="s">
        <v>230</v>
      </c>
      <c r="E199" s="76">
        <f>300</f>
        <v>300</v>
      </c>
      <c r="F199" s="76">
        <f>0</f>
        <v>0</v>
      </c>
      <c r="G199" s="55" t="s">
        <v>731</v>
      </c>
      <c r="H199" s="77">
        <f>0</f>
        <v>0</v>
      </c>
    </row>
    <row r="200" spans="1:8" ht="48" x14ac:dyDescent="0.25">
      <c r="A200" s="74"/>
      <c r="B200" s="96"/>
      <c r="C200" s="12" t="s">
        <v>621</v>
      </c>
      <c r="D200" s="12" t="s">
        <v>231</v>
      </c>
      <c r="E200" s="76">
        <f>0</f>
        <v>0</v>
      </c>
      <c r="F200" s="76">
        <f>0</f>
        <v>0</v>
      </c>
      <c r="G200" s="55" t="s">
        <v>164</v>
      </c>
      <c r="H200" s="77">
        <f>0</f>
        <v>0</v>
      </c>
    </row>
    <row r="201" spans="1:8" x14ac:dyDescent="0.25">
      <c r="A201" s="74"/>
      <c r="B201" s="96"/>
      <c r="C201" s="12" t="s">
        <v>622</v>
      </c>
      <c r="D201" s="12" t="s">
        <v>232</v>
      </c>
      <c r="E201" s="76">
        <f>300</f>
        <v>300</v>
      </c>
      <c r="F201" s="76">
        <f>0</f>
        <v>0</v>
      </c>
      <c r="G201" s="55" t="s">
        <v>731</v>
      </c>
      <c r="H201" s="77">
        <f>0</f>
        <v>0</v>
      </c>
    </row>
    <row r="202" spans="1:8" ht="24" x14ac:dyDescent="0.25">
      <c r="A202" s="74"/>
      <c r="B202" s="96"/>
      <c r="C202" s="12" t="s">
        <v>666</v>
      </c>
      <c r="D202" s="12" t="s">
        <v>233</v>
      </c>
      <c r="E202" s="76">
        <f>6345</f>
        <v>6345</v>
      </c>
      <c r="F202" s="76">
        <f>0</f>
        <v>0</v>
      </c>
      <c r="G202" s="55" t="s">
        <v>731</v>
      </c>
      <c r="H202" s="77">
        <f>0</f>
        <v>0</v>
      </c>
    </row>
    <row r="203" spans="1:8" ht="48" x14ac:dyDescent="0.25">
      <c r="A203" s="74"/>
      <c r="B203" s="96"/>
      <c r="C203" s="12" t="s">
        <v>623</v>
      </c>
      <c r="D203" s="12" t="s">
        <v>234</v>
      </c>
      <c r="E203" s="76">
        <f>0</f>
        <v>0</v>
      </c>
      <c r="F203" s="76">
        <f>0</f>
        <v>0</v>
      </c>
      <c r="G203" s="55" t="s">
        <v>164</v>
      </c>
      <c r="H203" s="77">
        <f>0</f>
        <v>0</v>
      </c>
    </row>
    <row r="204" spans="1:8" ht="36" x14ac:dyDescent="0.25">
      <c r="A204" s="74"/>
      <c r="B204" s="96"/>
      <c r="C204" s="12" t="s">
        <v>667</v>
      </c>
      <c r="D204" s="12" t="s">
        <v>235</v>
      </c>
      <c r="E204" s="76">
        <f>0</f>
        <v>0</v>
      </c>
      <c r="F204" s="76">
        <f>0</f>
        <v>0</v>
      </c>
      <c r="G204" s="55" t="s">
        <v>164</v>
      </c>
      <c r="H204" s="77">
        <f>0</f>
        <v>0</v>
      </c>
    </row>
    <row r="205" spans="1:8" ht="36" x14ac:dyDescent="0.25">
      <c r="A205" s="74"/>
      <c r="B205" s="96"/>
      <c r="C205" s="12" t="s">
        <v>668</v>
      </c>
      <c r="D205" s="12" t="s">
        <v>236</v>
      </c>
      <c r="E205" s="76">
        <f>330.49</f>
        <v>330.49</v>
      </c>
      <c r="F205" s="76">
        <f>224.72</f>
        <v>224.72</v>
      </c>
      <c r="G205" s="55" t="s">
        <v>732</v>
      </c>
      <c r="H205" s="77">
        <f>224.72</f>
        <v>224.72</v>
      </c>
    </row>
    <row r="206" spans="1:8" ht="36" x14ac:dyDescent="0.25">
      <c r="A206" s="74"/>
      <c r="B206" s="96"/>
      <c r="C206" s="12" t="s">
        <v>747</v>
      </c>
      <c r="D206" s="12" t="s">
        <v>237</v>
      </c>
      <c r="E206" s="76">
        <f>945.45</f>
        <v>945.45</v>
      </c>
      <c r="F206" s="76">
        <f>27.24</f>
        <v>27.24</v>
      </c>
      <c r="G206" s="55" t="s">
        <v>733</v>
      </c>
      <c r="H206" s="77">
        <f>27.24</f>
        <v>27.24</v>
      </c>
    </row>
    <row r="207" spans="1:8" ht="24" x14ac:dyDescent="0.25">
      <c r="A207" s="74"/>
      <c r="B207" s="96"/>
      <c r="C207" s="12" t="s">
        <v>46</v>
      </c>
      <c r="D207" s="12" t="s">
        <v>238</v>
      </c>
      <c r="E207" s="76">
        <f>E208+E209</f>
        <v>72.2</v>
      </c>
      <c r="F207" s="76">
        <f>F208+F209</f>
        <v>0</v>
      </c>
      <c r="G207" s="55" t="s">
        <v>261</v>
      </c>
      <c r="H207" s="77">
        <f>H208+H209</f>
        <v>0</v>
      </c>
    </row>
    <row r="208" spans="1:8" ht="24" x14ac:dyDescent="0.25">
      <c r="A208" s="74"/>
      <c r="B208" s="96"/>
      <c r="C208" s="12" t="s">
        <v>627</v>
      </c>
      <c r="D208" s="12" t="s">
        <v>239</v>
      </c>
      <c r="E208" s="76">
        <f>72.2</f>
        <v>72.2</v>
      </c>
      <c r="F208" s="76">
        <f>0</f>
        <v>0</v>
      </c>
      <c r="G208" s="55" t="s">
        <v>261</v>
      </c>
      <c r="H208" s="77">
        <f>0</f>
        <v>0</v>
      </c>
    </row>
    <row r="209" spans="1:8" ht="24" x14ac:dyDescent="0.25">
      <c r="A209" s="74"/>
      <c r="B209" s="96"/>
      <c r="C209" s="12" t="s">
        <v>659</v>
      </c>
      <c r="D209" s="12" t="s">
        <v>240</v>
      </c>
      <c r="E209" s="76">
        <f>0</f>
        <v>0</v>
      </c>
      <c r="F209" s="76">
        <f>0</f>
        <v>0</v>
      </c>
      <c r="G209" s="55" t="s">
        <v>164</v>
      </c>
      <c r="H209" s="77">
        <f>0</f>
        <v>0</v>
      </c>
    </row>
    <row r="210" spans="1:8" ht="24" x14ac:dyDescent="0.25">
      <c r="A210" s="74"/>
      <c r="B210" s="96"/>
      <c r="C210" s="12" t="s">
        <v>14</v>
      </c>
      <c r="D210" s="12" t="s">
        <v>241</v>
      </c>
      <c r="E210" s="76">
        <f>E211</f>
        <v>840</v>
      </c>
      <c r="F210" s="76">
        <f>F211</f>
        <v>831.6</v>
      </c>
      <c r="G210" s="55" t="s">
        <v>734</v>
      </c>
      <c r="H210" s="77">
        <f>H211</f>
        <v>831.6</v>
      </c>
    </row>
    <row r="211" spans="1:8" ht="24" x14ac:dyDescent="0.25">
      <c r="A211" s="74"/>
      <c r="B211" s="96"/>
      <c r="C211" s="12" t="s">
        <v>617</v>
      </c>
      <c r="D211" s="12" t="s">
        <v>242</v>
      </c>
      <c r="E211" s="76">
        <f>840</f>
        <v>840</v>
      </c>
      <c r="F211" s="76">
        <f>831.6</f>
        <v>831.6</v>
      </c>
      <c r="G211" s="55" t="s">
        <v>735</v>
      </c>
      <c r="H211" s="77">
        <f>831.6</f>
        <v>831.6</v>
      </c>
    </row>
    <row r="212" spans="1:8" ht="24" x14ac:dyDescent="0.25">
      <c r="A212" s="74"/>
      <c r="B212" s="96"/>
      <c r="C212" s="13" t="s">
        <v>30</v>
      </c>
      <c r="D212" s="13" t="s">
        <v>243</v>
      </c>
      <c r="E212" s="78">
        <f>E213</f>
        <v>852</v>
      </c>
      <c r="F212" s="78">
        <f>F213</f>
        <v>506.88</v>
      </c>
      <c r="G212" s="60" t="s">
        <v>736</v>
      </c>
      <c r="H212" s="79">
        <f>H213</f>
        <v>506.88</v>
      </c>
    </row>
    <row r="213" spans="1:8" ht="60" x14ac:dyDescent="0.25">
      <c r="A213" s="74"/>
      <c r="B213" s="96"/>
      <c r="C213" s="12" t="s">
        <v>26</v>
      </c>
      <c r="D213" s="12" t="s">
        <v>244</v>
      </c>
      <c r="E213" s="76">
        <f>E214</f>
        <v>852</v>
      </c>
      <c r="F213" s="76">
        <f>F214</f>
        <v>506.88</v>
      </c>
      <c r="G213" s="55" t="s">
        <v>737</v>
      </c>
      <c r="H213" s="77">
        <f>H214</f>
        <v>506.88</v>
      </c>
    </row>
    <row r="214" spans="1:8" ht="48" x14ac:dyDescent="0.25">
      <c r="A214" s="74"/>
      <c r="B214" s="96"/>
      <c r="C214" s="12" t="s">
        <v>619</v>
      </c>
      <c r="D214" s="12" t="s">
        <v>245</v>
      </c>
      <c r="E214" s="76">
        <v>852</v>
      </c>
      <c r="F214" s="76">
        <v>506.88</v>
      </c>
      <c r="G214" s="55" t="s">
        <v>737</v>
      </c>
      <c r="H214" s="77">
        <v>506.88</v>
      </c>
    </row>
    <row r="215" spans="1:8" x14ac:dyDescent="0.25">
      <c r="A215" s="74"/>
      <c r="B215" s="96"/>
      <c r="C215" s="13" t="s">
        <v>37</v>
      </c>
      <c r="D215" s="13" t="s">
        <v>246</v>
      </c>
      <c r="E215" s="78">
        <f>E216</f>
        <v>16618.37</v>
      </c>
      <c r="F215" s="78">
        <f>F216</f>
        <v>9977.9100000000017</v>
      </c>
      <c r="G215" s="60" t="s">
        <v>738</v>
      </c>
      <c r="H215" s="79">
        <f>H216</f>
        <v>9977.9100000000017</v>
      </c>
    </row>
    <row r="216" spans="1:8" x14ac:dyDescent="0.25">
      <c r="A216" s="74"/>
      <c r="B216" s="96"/>
      <c r="C216" s="12" t="s">
        <v>26</v>
      </c>
      <c r="D216" s="12" t="s">
        <v>247</v>
      </c>
      <c r="E216" s="76">
        <f>SUM(E217:E224)</f>
        <v>16618.37</v>
      </c>
      <c r="F216" s="76">
        <f>SUM(F217:F224)</f>
        <v>9977.9100000000017</v>
      </c>
      <c r="G216" s="55" t="s">
        <v>738</v>
      </c>
      <c r="H216" s="77">
        <f>SUM(H217:H224)</f>
        <v>9977.9100000000017</v>
      </c>
    </row>
    <row r="217" spans="1:8" ht="36" x14ac:dyDescent="0.25">
      <c r="A217" s="74"/>
      <c r="B217" s="96"/>
      <c r="C217" s="12" t="s">
        <v>619</v>
      </c>
      <c r="D217" s="12" t="s">
        <v>248</v>
      </c>
      <c r="E217" s="76">
        <v>60.4</v>
      </c>
      <c r="F217" s="76">
        <v>0</v>
      </c>
      <c r="G217" s="55" t="s">
        <v>249</v>
      </c>
      <c r="H217" s="77">
        <v>0</v>
      </c>
    </row>
    <row r="218" spans="1:8" ht="24" x14ac:dyDescent="0.25">
      <c r="A218" s="74"/>
      <c r="B218" s="96"/>
      <c r="C218" s="12" t="s">
        <v>620</v>
      </c>
      <c r="D218" s="12" t="s">
        <v>250</v>
      </c>
      <c r="E218" s="76">
        <v>90</v>
      </c>
      <c r="F218" s="76">
        <v>13.53</v>
      </c>
      <c r="G218" s="55" t="s">
        <v>739</v>
      </c>
      <c r="H218" s="77">
        <v>13.53</v>
      </c>
    </row>
    <row r="219" spans="1:8" ht="48" x14ac:dyDescent="0.25">
      <c r="A219" s="74"/>
      <c r="B219" s="96"/>
      <c r="C219" s="12" t="s">
        <v>656</v>
      </c>
      <c r="D219" s="12" t="s">
        <v>251</v>
      </c>
      <c r="E219" s="76">
        <v>60</v>
      </c>
      <c r="F219" s="76">
        <v>20</v>
      </c>
      <c r="G219" s="55" t="s">
        <v>740</v>
      </c>
      <c r="H219" s="77">
        <v>20</v>
      </c>
    </row>
    <row r="220" spans="1:8" ht="36" x14ac:dyDescent="0.25">
      <c r="A220" s="74"/>
      <c r="B220" s="96"/>
      <c r="C220" s="12" t="s">
        <v>621</v>
      </c>
      <c r="D220" s="12" t="s">
        <v>252</v>
      </c>
      <c r="E220" s="76">
        <v>0</v>
      </c>
      <c r="F220" s="76">
        <v>0</v>
      </c>
      <c r="G220" s="55" t="s">
        <v>164</v>
      </c>
      <c r="H220" s="77">
        <v>0</v>
      </c>
    </row>
    <row r="221" spans="1:8" ht="36" x14ac:dyDescent="0.25">
      <c r="A221" s="74"/>
      <c r="B221" s="96"/>
      <c r="C221" s="12" t="s">
        <v>622</v>
      </c>
      <c r="D221" s="12" t="s">
        <v>253</v>
      </c>
      <c r="E221" s="76">
        <v>15881.81</v>
      </c>
      <c r="F221" s="76">
        <v>9725.18</v>
      </c>
      <c r="G221" s="55" t="s">
        <v>741</v>
      </c>
      <c r="H221" s="77">
        <v>9725.18</v>
      </c>
    </row>
    <row r="222" spans="1:8" ht="36" x14ac:dyDescent="0.25">
      <c r="A222" s="74"/>
      <c r="B222" s="96"/>
      <c r="C222" s="12" t="s">
        <v>666</v>
      </c>
      <c r="D222" s="12" t="s">
        <v>254</v>
      </c>
      <c r="E222" s="76">
        <v>0</v>
      </c>
      <c r="F222" s="76">
        <v>0</v>
      </c>
      <c r="G222" s="55" t="s">
        <v>164</v>
      </c>
      <c r="H222" s="77">
        <v>0</v>
      </c>
    </row>
    <row r="223" spans="1:8" ht="24" x14ac:dyDescent="0.25">
      <c r="A223" s="74"/>
      <c r="B223" s="96"/>
      <c r="C223" s="12" t="s">
        <v>623</v>
      </c>
      <c r="D223" s="12" t="s">
        <v>255</v>
      </c>
      <c r="E223" s="76">
        <v>0</v>
      </c>
      <c r="F223" s="76">
        <v>0</v>
      </c>
      <c r="G223" s="55" t="s">
        <v>164</v>
      </c>
      <c r="H223" s="77">
        <v>0</v>
      </c>
    </row>
    <row r="224" spans="1:8" x14ac:dyDescent="0.25">
      <c r="A224" s="74"/>
      <c r="B224" s="96"/>
      <c r="C224" s="12" t="s">
        <v>667</v>
      </c>
      <c r="D224" s="12" t="s">
        <v>256</v>
      </c>
      <c r="E224" s="76">
        <v>526.16</v>
      </c>
      <c r="F224" s="76">
        <v>219.2</v>
      </c>
      <c r="G224" s="55" t="s">
        <v>257</v>
      </c>
      <c r="H224" s="77">
        <v>219.2</v>
      </c>
    </row>
    <row r="225" spans="1:8" x14ac:dyDescent="0.25">
      <c r="A225" s="74"/>
      <c r="B225" s="96"/>
      <c r="C225" s="13" t="s">
        <v>17</v>
      </c>
      <c r="D225" s="13" t="s">
        <v>258</v>
      </c>
      <c r="E225" s="78">
        <f>E226+E228</f>
        <v>1386.64</v>
      </c>
      <c r="F225" s="78">
        <f>F226+F228</f>
        <v>1226.25</v>
      </c>
      <c r="G225" s="60" t="s">
        <v>259</v>
      </c>
      <c r="H225" s="79">
        <f>H226+H228</f>
        <v>1226.25</v>
      </c>
    </row>
    <row r="226" spans="1:8" ht="36" x14ac:dyDescent="0.25">
      <c r="A226" s="74"/>
      <c r="B226" s="96"/>
      <c r="C226" s="12" t="s">
        <v>26</v>
      </c>
      <c r="D226" s="12" t="s">
        <v>260</v>
      </c>
      <c r="E226" s="76">
        <f>E227</f>
        <v>148</v>
      </c>
      <c r="F226" s="76">
        <f>F227</f>
        <v>0</v>
      </c>
      <c r="G226" s="55" t="s">
        <v>261</v>
      </c>
      <c r="H226" s="77">
        <f>H227</f>
        <v>0</v>
      </c>
    </row>
    <row r="227" spans="1:8" ht="24" x14ac:dyDescent="0.25">
      <c r="A227" s="74"/>
      <c r="B227" s="96"/>
      <c r="C227" s="12" t="s">
        <v>619</v>
      </c>
      <c r="D227" s="12" t="s">
        <v>262</v>
      </c>
      <c r="E227" s="76">
        <f>148</f>
        <v>148</v>
      </c>
      <c r="F227" s="76">
        <f>0</f>
        <v>0</v>
      </c>
      <c r="G227" s="55" t="s">
        <v>261</v>
      </c>
      <c r="H227" s="77">
        <f>0</f>
        <v>0</v>
      </c>
    </row>
    <row r="228" spans="1:8" ht="36" x14ac:dyDescent="0.25">
      <c r="A228" s="74"/>
      <c r="B228" s="96"/>
      <c r="C228" s="12" t="s">
        <v>46</v>
      </c>
      <c r="D228" s="12" t="s">
        <v>263</v>
      </c>
      <c r="E228" s="76">
        <f>E229+E230+E231</f>
        <v>1238.6400000000001</v>
      </c>
      <c r="F228" s="76">
        <f>F229+F230+F231</f>
        <v>1226.25</v>
      </c>
      <c r="G228" s="55" t="s">
        <v>735</v>
      </c>
      <c r="H228" s="77">
        <f>H229+H230+H231</f>
        <v>1226.25</v>
      </c>
    </row>
    <row r="229" spans="1:8" ht="24" x14ac:dyDescent="0.25">
      <c r="A229" s="74"/>
      <c r="B229" s="96"/>
      <c r="C229" s="12" t="s">
        <v>627</v>
      </c>
      <c r="D229" s="12" t="s">
        <v>264</v>
      </c>
      <c r="E229" s="76">
        <f>1238.64</f>
        <v>1238.6400000000001</v>
      </c>
      <c r="F229" s="76">
        <f>1226.25</f>
        <v>1226.25</v>
      </c>
      <c r="G229" s="55" t="s">
        <v>735</v>
      </c>
      <c r="H229" s="77">
        <f>1226.25</f>
        <v>1226.25</v>
      </c>
    </row>
    <row r="230" spans="1:8" ht="36" x14ac:dyDescent="0.25">
      <c r="A230" s="74"/>
      <c r="B230" s="96"/>
      <c r="C230" s="12" t="s">
        <v>659</v>
      </c>
      <c r="D230" s="12" t="s">
        <v>265</v>
      </c>
      <c r="E230" s="76">
        <f>0</f>
        <v>0</v>
      </c>
      <c r="F230" s="76">
        <f>0</f>
        <v>0</v>
      </c>
      <c r="G230" s="55" t="s">
        <v>164</v>
      </c>
      <c r="H230" s="77">
        <f>0</f>
        <v>0</v>
      </c>
    </row>
    <row r="231" spans="1:8" ht="36" x14ac:dyDescent="0.25">
      <c r="A231" s="74"/>
      <c r="B231" s="96"/>
      <c r="C231" s="12" t="s">
        <v>660</v>
      </c>
      <c r="D231" s="12" t="s">
        <v>266</v>
      </c>
      <c r="E231" s="76">
        <f>0</f>
        <v>0</v>
      </c>
      <c r="F231" s="76">
        <f>0</f>
        <v>0</v>
      </c>
      <c r="G231" s="55" t="s">
        <v>164</v>
      </c>
      <c r="H231" s="77">
        <f>0</f>
        <v>0</v>
      </c>
    </row>
    <row r="232" spans="1:8" x14ac:dyDescent="0.25">
      <c r="A232" s="74"/>
      <c r="B232" s="96"/>
      <c r="C232" s="13" t="s">
        <v>267</v>
      </c>
      <c r="D232" s="13" t="s">
        <v>50</v>
      </c>
      <c r="E232" s="78">
        <f>E233</f>
        <v>22882.1</v>
      </c>
      <c r="F232" s="78">
        <f>F233</f>
        <v>16940.5</v>
      </c>
      <c r="G232" s="60" t="s">
        <v>742</v>
      </c>
      <c r="H232" s="79">
        <f>H233</f>
        <v>16940.5</v>
      </c>
    </row>
    <row r="233" spans="1:8" ht="24" x14ac:dyDescent="0.25">
      <c r="A233" s="74"/>
      <c r="B233" s="96"/>
      <c r="C233" s="12" t="s">
        <v>26</v>
      </c>
      <c r="D233" s="12" t="s">
        <v>51</v>
      </c>
      <c r="E233" s="76">
        <f>E234+E235+E236</f>
        <v>22882.1</v>
      </c>
      <c r="F233" s="76">
        <f>F234+F235+F236</f>
        <v>16940.5</v>
      </c>
      <c r="G233" s="55" t="s">
        <v>742</v>
      </c>
      <c r="H233" s="77">
        <f>H234+H235+H236</f>
        <v>16940.5</v>
      </c>
    </row>
    <row r="234" spans="1:8" ht="24" x14ac:dyDescent="0.25">
      <c r="A234" s="74"/>
      <c r="B234" s="96"/>
      <c r="C234" s="12" t="s">
        <v>619</v>
      </c>
      <c r="D234" s="12" t="s">
        <v>268</v>
      </c>
      <c r="E234" s="76">
        <f>0</f>
        <v>0</v>
      </c>
      <c r="F234" s="76">
        <f>0</f>
        <v>0</v>
      </c>
      <c r="G234" s="55" t="s">
        <v>13</v>
      </c>
      <c r="H234" s="77">
        <f>0</f>
        <v>0</v>
      </c>
    </row>
    <row r="235" spans="1:8" ht="36" x14ac:dyDescent="0.25">
      <c r="A235" s="74"/>
      <c r="B235" s="96"/>
      <c r="C235" s="12" t="s">
        <v>620</v>
      </c>
      <c r="D235" s="12" t="s">
        <v>236</v>
      </c>
      <c r="E235" s="76">
        <f>22882.1</f>
        <v>22882.1</v>
      </c>
      <c r="F235" s="76">
        <f>16940.5</f>
        <v>16940.5</v>
      </c>
      <c r="G235" s="55" t="s">
        <v>742</v>
      </c>
      <c r="H235" s="77">
        <f>16940.5</f>
        <v>16940.5</v>
      </c>
    </row>
    <row r="236" spans="1:8" ht="24" x14ac:dyDescent="0.25">
      <c r="A236" s="74"/>
      <c r="B236" s="96"/>
      <c r="C236" s="12" t="s">
        <v>656</v>
      </c>
      <c r="D236" s="12" t="s">
        <v>269</v>
      </c>
      <c r="E236" s="76">
        <f>0</f>
        <v>0</v>
      </c>
      <c r="F236" s="76">
        <f>0</f>
        <v>0</v>
      </c>
      <c r="G236" s="55" t="s">
        <v>13</v>
      </c>
      <c r="H236" s="77">
        <f>0</f>
        <v>0</v>
      </c>
    </row>
    <row r="237" spans="1:8" ht="20.100000000000001" customHeight="1" thickBot="1" x14ac:dyDescent="0.3">
      <c r="A237" s="97" t="s">
        <v>22</v>
      </c>
      <c r="B237" s="98"/>
      <c r="C237" s="98"/>
      <c r="D237" s="98"/>
      <c r="E237" s="66">
        <f>E173+E195+E212+E215+E225+E232</f>
        <v>77540.09</v>
      </c>
      <c r="F237" s="66">
        <f>F173+F195+F212+F215+F225+F232</f>
        <v>35649.520000000004</v>
      </c>
      <c r="G237" s="99" t="s">
        <v>434</v>
      </c>
      <c r="H237" s="68">
        <f>H173+H195+H212+H215+H225+H232</f>
        <v>35649.520000000004</v>
      </c>
    </row>
    <row r="238" spans="1:8" ht="24" x14ac:dyDescent="0.25">
      <c r="A238" s="100">
        <v>9</v>
      </c>
      <c r="B238" s="86" t="s">
        <v>270</v>
      </c>
      <c r="C238" s="45" t="s">
        <v>11</v>
      </c>
      <c r="D238" s="45" t="s">
        <v>271</v>
      </c>
      <c r="E238" s="71">
        <f>E239+E243+E245</f>
        <v>0</v>
      </c>
      <c r="F238" s="71">
        <f>F239+F243+F245</f>
        <v>0</v>
      </c>
      <c r="G238" s="72" t="s">
        <v>13</v>
      </c>
      <c r="H238" s="73">
        <f>H239+H243+H245</f>
        <v>0</v>
      </c>
    </row>
    <row r="239" spans="1:8" ht="24" x14ac:dyDescent="0.25">
      <c r="A239" s="101"/>
      <c r="B239" s="87"/>
      <c r="C239" s="12" t="s">
        <v>26</v>
      </c>
      <c r="D239" s="12" t="s">
        <v>272</v>
      </c>
      <c r="E239" s="76">
        <f>E240+E241+E242</f>
        <v>0</v>
      </c>
      <c r="F239" s="76">
        <f>F240+F241+F242</f>
        <v>0</v>
      </c>
      <c r="G239" s="55" t="s">
        <v>13</v>
      </c>
      <c r="H239" s="77">
        <f>H240+H241+H242</f>
        <v>0</v>
      </c>
    </row>
    <row r="240" spans="1:8" ht="24" x14ac:dyDescent="0.25">
      <c r="A240" s="101"/>
      <c r="B240" s="87"/>
      <c r="C240" s="12" t="s">
        <v>619</v>
      </c>
      <c r="D240" s="12" t="s">
        <v>273</v>
      </c>
      <c r="E240" s="76">
        <f>0</f>
        <v>0</v>
      </c>
      <c r="F240" s="76">
        <f>0</f>
        <v>0</v>
      </c>
      <c r="G240" s="55" t="s">
        <v>13</v>
      </c>
      <c r="H240" s="77">
        <f>0</f>
        <v>0</v>
      </c>
    </row>
    <row r="241" spans="1:8" ht="36" x14ac:dyDescent="0.25">
      <c r="A241" s="101"/>
      <c r="B241" s="87"/>
      <c r="C241" s="12" t="s">
        <v>620</v>
      </c>
      <c r="D241" s="12" t="s">
        <v>274</v>
      </c>
      <c r="E241" s="76">
        <f>0</f>
        <v>0</v>
      </c>
      <c r="F241" s="76">
        <f>0</f>
        <v>0</v>
      </c>
      <c r="G241" s="55" t="s">
        <v>13</v>
      </c>
      <c r="H241" s="77">
        <f>0</f>
        <v>0</v>
      </c>
    </row>
    <row r="242" spans="1:8" ht="24" x14ac:dyDescent="0.25">
      <c r="A242" s="101"/>
      <c r="B242" s="87"/>
      <c r="C242" s="12" t="s">
        <v>656</v>
      </c>
      <c r="D242" s="12" t="s">
        <v>275</v>
      </c>
      <c r="E242" s="76">
        <f>0</f>
        <v>0</v>
      </c>
      <c r="F242" s="76">
        <f>0</f>
        <v>0</v>
      </c>
      <c r="G242" s="55" t="s">
        <v>13</v>
      </c>
      <c r="H242" s="77">
        <f>0</f>
        <v>0</v>
      </c>
    </row>
    <row r="243" spans="1:8" ht="24" x14ac:dyDescent="0.25">
      <c r="A243" s="101"/>
      <c r="B243" s="87"/>
      <c r="C243" s="12" t="s">
        <v>116</v>
      </c>
      <c r="D243" s="12" t="s">
        <v>276</v>
      </c>
      <c r="E243" s="76">
        <f>E244</f>
        <v>0</v>
      </c>
      <c r="F243" s="76">
        <f>F244</f>
        <v>0</v>
      </c>
      <c r="G243" s="55" t="s">
        <v>13</v>
      </c>
      <c r="H243" s="77">
        <f>H244</f>
        <v>0</v>
      </c>
    </row>
    <row r="244" spans="1:8" ht="24" x14ac:dyDescent="0.25">
      <c r="A244" s="101"/>
      <c r="B244" s="87"/>
      <c r="C244" s="12" t="s">
        <v>751</v>
      </c>
      <c r="D244" s="12" t="s">
        <v>277</v>
      </c>
      <c r="E244" s="76">
        <f>0</f>
        <v>0</v>
      </c>
      <c r="F244" s="76">
        <f>0</f>
        <v>0</v>
      </c>
      <c r="G244" s="55" t="s">
        <v>13</v>
      </c>
      <c r="H244" s="77">
        <f>0</f>
        <v>0</v>
      </c>
    </row>
    <row r="245" spans="1:8" ht="36" x14ac:dyDescent="0.25">
      <c r="A245" s="101"/>
      <c r="B245" s="87"/>
      <c r="C245" s="12" t="s">
        <v>278</v>
      </c>
      <c r="D245" s="12" t="s">
        <v>279</v>
      </c>
      <c r="E245" s="76">
        <f>E246</f>
        <v>0</v>
      </c>
      <c r="F245" s="76">
        <f>F246</f>
        <v>0</v>
      </c>
      <c r="G245" s="55" t="s">
        <v>13</v>
      </c>
      <c r="H245" s="77">
        <f>H246</f>
        <v>0</v>
      </c>
    </row>
    <row r="246" spans="1:8" ht="132" x14ac:dyDescent="0.25">
      <c r="A246" s="101"/>
      <c r="B246" s="87"/>
      <c r="C246" s="12" t="s">
        <v>752</v>
      </c>
      <c r="D246" s="12" t="s">
        <v>280</v>
      </c>
      <c r="E246" s="76">
        <f>0</f>
        <v>0</v>
      </c>
      <c r="F246" s="76">
        <f>0</f>
        <v>0</v>
      </c>
      <c r="G246" s="55" t="s">
        <v>13</v>
      </c>
      <c r="H246" s="77">
        <f>0</f>
        <v>0</v>
      </c>
    </row>
    <row r="247" spans="1:8" ht="24" x14ac:dyDescent="0.25">
      <c r="A247" s="101"/>
      <c r="B247" s="87"/>
      <c r="C247" s="13" t="s">
        <v>24</v>
      </c>
      <c r="D247" s="13" t="s">
        <v>281</v>
      </c>
      <c r="E247" s="78">
        <f>E248</f>
        <v>0</v>
      </c>
      <c r="F247" s="78">
        <f>F248</f>
        <v>0</v>
      </c>
      <c r="G247" s="60" t="s">
        <v>13</v>
      </c>
      <c r="H247" s="79">
        <f>H248</f>
        <v>0</v>
      </c>
    </row>
    <row r="248" spans="1:8" ht="36" x14ac:dyDescent="0.25">
      <c r="A248" s="101"/>
      <c r="B248" s="87"/>
      <c r="C248" s="12" t="s">
        <v>26</v>
      </c>
      <c r="D248" s="12" t="s">
        <v>282</v>
      </c>
      <c r="E248" s="76">
        <f>E249</f>
        <v>0</v>
      </c>
      <c r="F248" s="76">
        <f>F249</f>
        <v>0</v>
      </c>
      <c r="G248" s="55" t="s">
        <v>13</v>
      </c>
      <c r="H248" s="77">
        <f>H249</f>
        <v>0</v>
      </c>
    </row>
    <row r="249" spans="1:8" ht="24" x14ac:dyDescent="0.25">
      <c r="A249" s="101"/>
      <c r="B249" s="87"/>
      <c r="C249" s="12" t="s">
        <v>619</v>
      </c>
      <c r="D249" s="12" t="s">
        <v>283</v>
      </c>
      <c r="E249" s="76">
        <f>0</f>
        <v>0</v>
      </c>
      <c r="F249" s="76">
        <f>0</f>
        <v>0</v>
      </c>
      <c r="G249" s="55" t="s">
        <v>13</v>
      </c>
      <c r="H249" s="77">
        <f>0</f>
        <v>0</v>
      </c>
    </row>
    <row r="250" spans="1:8" ht="36" x14ac:dyDescent="0.25">
      <c r="A250" s="101"/>
      <c r="B250" s="87"/>
      <c r="C250" s="13" t="s">
        <v>30</v>
      </c>
      <c r="D250" s="13" t="s">
        <v>284</v>
      </c>
      <c r="E250" s="78">
        <f>E251</f>
        <v>39767.699999999997</v>
      </c>
      <c r="F250" s="78">
        <f>F251</f>
        <v>22350.81</v>
      </c>
      <c r="G250" s="60" t="s">
        <v>748</v>
      </c>
      <c r="H250" s="79">
        <f>H251</f>
        <v>22350.81</v>
      </c>
    </row>
    <row r="251" spans="1:8" ht="48" x14ac:dyDescent="0.25">
      <c r="A251" s="101"/>
      <c r="B251" s="87"/>
      <c r="C251" s="12" t="s">
        <v>26</v>
      </c>
      <c r="D251" s="12" t="s">
        <v>749</v>
      </c>
      <c r="E251" s="76">
        <f>E252</f>
        <v>39767.699999999997</v>
      </c>
      <c r="F251" s="76">
        <f>F252</f>
        <v>22350.81</v>
      </c>
      <c r="G251" s="55" t="s">
        <v>748</v>
      </c>
      <c r="H251" s="77">
        <f>H252</f>
        <v>22350.81</v>
      </c>
    </row>
    <row r="252" spans="1:8" ht="48" x14ac:dyDescent="0.25">
      <c r="A252" s="101"/>
      <c r="B252" s="87"/>
      <c r="C252" s="12" t="s">
        <v>619</v>
      </c>
      <c r="D252" s="12" t="s">
        <v>286</v>
      </c>
      <c r="E252" s="76">
        <f>E253+E254</f>
        <v>39767.699999999997</v>
      </c>
      <c r="F252" s="76">
        <f>F253+F254</f>
        <v>22350.81</v>
      </c>
      <c r="G252" s="55" t="s">
        <v>748</v>
      </c>
      <c r="H252" s="77">
        <f>H253+H254</f>
        <v>22350.81</v>
      </c>
    </row>
    <row r="253" spans="1:8" ht="48" x14ac:dyDescent="0.25">
      <c r="A253" s="101"/>
      <c r="B253" s="87"/>
      <c r="C253" s="12" t="s">
        <v>708</v>
      </c>
      <c r="D253" s="12" t="s">
        <v>287</v>
      </c>
      <c r="E253" s="76">
        <f>958.7+38289</f>
        <v>39247.699999999997</v>
      </c>
      <c r="F253" s="76">
        <f>22350.81</f>
        <v>22350.81</v>
      </c>
      <c r="G253" s="55" t="s">
        <v>59</v>
      </c>
      <c r="H253" s="77">
        <f>22350.81</f>
        <v>22350.81</v>
      </c>
    </row>
    <row r="254" spans="1:8" ht="60" x14ac:dyDescent="0.25">
      <c r="A254" s="101"/>
      <c r="B254" s="87"/>
      <c r="C254" s="12" t="s">
        <v>709</v>
      </c>
      <c r="D254" s="12" t="s">
        <v>288</v>
      </c>
      <c r="E254" s="76">
        <f>520</f>
        <v>520</v>
      </c>
      <c r="F254" s="76">
        <f>0</f>
        <v>0</v>
      </c>
      <c r="G254" s="55" t="s">
        <v>59</v>
      </c>
      <c r="H254" s="77">
        <f>0</f>
        <v>0</v>
      </c>
    </row>
    <row r="255" spans="1:8" ht="24" x14ac:dyDescent="0.25">
      <c r="A255" s="101"/>
      <c r="B255" s="87"/>
      <c r="C255" s="13" t="s">
        <v>49</v>
      </c>
      <c r="D255" s="13" t="s">
        <v>289</v>
      </c>
      <c r="E255" s="78">
        <f>E256</f>
        <v>0</v>
      </c>
      <c r="F255" s="78">
        <f>F256</f>
        <v>0</v>
      </c>
      <c r="G255" s="60" t="s">
        <v>13</v>
      </c>
      <c r="H255" s="79">
        <f>H256</f>
        <v>0</v>
      </c>
    </row>
    <row r="256" spans="1:8" ht="60" x14ac:dyDescent="0.25">
      <c r="A256" s="101"/>
      <c r="B256" s="87"/>
      <c r="C256" s="12" t="s">
        <v>46</v>
      </c>
      <c r="D256" s="12" t="s">
        <v>290</v>
      </c>
      <c r="E256" s="76">
        <f>E257</f>
        <v>0</v>
      </c>
      <c r="F256" s="76">
        <f>F257</f>
        <v>0</v>
      </c>
      <c r="G256" s="55" t="s">
        <v>13</v>
      </c>
      <c r="H256" s="77">
        <f>H257</f>
        <v>0</v>
      </c>
    </row>
    <row r="257" spans="1:8" ht="36" x14ac:dyDescent="0.25">
      <c r="A257" s="102"/>
      <c r="B257" s="88"/>
      <c r="C257" s="12" t="s">
        <v>627</v>
      </c>
      <c r="D257" s="12" t="s">
        <v>291</v>
      </c>
      <c r="E257" s="76">
        <f>0</f>
        <v>0</v>
      </c>
      <c r="F257" s="76">
        <f>0</f>
        <v>0</v>
      </c>
      <c r="G257" s="55" t="s">
        <v>13</v>
      </c>
      <c r="H257" s="77">
        <f>0</f>
        <v>0</v>
      </c>
    </row>
    <row r="258" spans="1:8" ht="20.100000000000001" customHeight="1" thickBot="1" x14ac:dyDescent="0.3">
      <c r="A258" s="103" t="s">
        <v>22</v>
      </c>
      <c r="B258" s="104"/>
      <c r="C258" s="104"/>
      <c r="D258" s="105"/>
      <c r="E258" s="91">
        <f>E238+E247+E250+E255</f>
        <v>39767.699999999997</v>
      </c>
      <c r="F258" s="91">
        <f>F238+F247+F250+F255</f>
        <v>22350.81</v>
      </c>
      <c r="G258" s="67" t="s">
        <v>750</v>
      </c>
      <c r="H258" s="92">
        <f>H238+H247+H250+H255</f>
        <v>22350.81</v>
      </c>
    </row>
    <row r="259" spans="1:8" ht="24" x14ac:dyDescent="0.25">
      <c r="A259" s="100">
        <v>10</v>
      </c>
      <c r="B259" s="86" t="s">
        <v>292</v>
      </c>
      <c r="C259" s="45" t="s">
        <v>30</v>
      </c>
      <c r="D259" s="45" t="s">
        <v>293</v>
      </c>
      <c r="E259" s="71">
        <f>E260+E266</f>
        <v>2780</v>
      </c>
      <c r="F259" s="71">
        <f>F260+F266</f>
        <v>390</v>
      </c>
      <c r="G259" s="72" t="s">
        <v>753</v>
      </c>
      <c r="H259" s="73">
        <f>H260+H266</f>
        <v>390</v>
      </c>
    </row>
    <row r="260" spans="1:8" ht="36" x14ac:dyDescent="0.25">
      <c r="A260" s="101"/>
      <c r="B260" s="87"/>
      <c r="C260" s="12" t="s">
        <v>46</v>
      </c>
      <c r="D260" s="12" t="s">
        <v>294</v>
      </c>
      <c r="E260" s="76">
        <f>SUM(E261:E265)</f>
        <v>980</v>
      </c>
      <c r="F260" s="76">
        <f>SUM(F261:F265)</f>
        <v>0</v>
      </c>
      <c r="G260" s="55" t="s">
        <v>59</v>
      </c>
      <c r="H260" s="77">
        <f>SUM(H261:H265)</f>
        <v>0</v>
      </c>
    </row>
    <row r="261" spans="1:8" ht="24" x14ac:dyDescent="0.25">
      <c r="A261" s="101"/>
      <c r="B261" s="87"/>
      <c r="C261" s="12" t="s">
        <v>627</v>
      </c>
      <c r="D261" s="12" t="s">
        <v>295</v>
      </c>
      <c r="E261" s="76">
        <f>0</f>
        <v>0</v>
      </c>
      <c r="F261" s="76">
        <f>0</f>
        <v>0</v>
      </c>
      <c r="G261" s="55" t="s">
        <v>13</v>
      </c>
      <c r="H261" s="77">
        <f>0</f>
        <v>0</v>
      </c>
    </row>
    <row r="262" spans="1:8" ht="24" x14ac:dyDescent="0.25">
      <c r="A262" s="101"/>
      <c r="B262" s="87"/>
      <c r="C262" s="12" t="s">
        <v>659</v>
      </c>
      <c r="D262" s="12" t="s">
        <v>296</v>
      </c>
      <c r="E262" s="76">
        <f>0</f>
        <v>0</v>
      </c>
      <c r="F262" s="76">
        <f>0</f>
        <v>0</v>
      </c>
      <c r="G262" s="55" t="s">
        <v>13</v>
      </c>
      <c r="H262" s="77">
        <f>0</f>
        <v>0</v>
      </c>
    </row>
    <row r="263" spans="1:8" ht="24" x14ac:dyDescent="0.25">
      <c r="A263" s="101"/>
      <c r="B263" s="87"/>
      <c r="C263" s="12" t="s">
        <v>660</v>
      </c>
      <c r="D263" s="12" t="s">
        <v>297</v>
      </c>
      <c r="E263" s="76">
        <f>0</f>
        <v>0</v>
      </c>
      <c r="F263" s="76">
        <f>0</f>
        <v>0</v>
      </c>
      <c r="G263" s="55" t="s">
        <v>13</v>
      </c>
      <c r="H263" s="77">
        <f>0</f>
        <v>0</v>
      </c>
    </row>
    <row r="264" spans="1:8" ht="24" x14ac:dyDescent="0.25">
      <c r="A264" s="101"/>
      <c r="B264" s="87"/>
      <c r="C264" s="12" t="s">
        <v>661</v>
      </c>
      <c r="D264" s="12" t="s">
        <v>298</v>
      </c>
      <c r="E264" s="76">
        <f>0</f>
        <v>0</v>
      </c>
      <c r="F264" s="76">
        <f>0</f>
        <v>0</v>
      </c>
      <c r="G264" s="55" t="s">
        <v>13</v>
      </c>
      <c r="H264" s="77">
        <f>0</f>
        <v>0</v>
      </c>
    </row>
    <row r="265" spans="1:8" ht="24" x14ac:dyDescent="0.25">
      <c r="A265" s="101"/>
      <c r="B265" s="87"/>
      <c r="C265" s="12" t="s">
        <v>662</v>
      </c>
      <c r="D265" s="12" t="s">
        <v>299</v>
      </c>
      <c r="E265" s="76">
        <f>980</f>
        <v>980</v>
      </c>
      <c r="F265" s="76">
        <f>0</f>
        <v>0</v>
      </c>
      <c r="G265" s="55" t="s">
        <v>59</v>
      </c>
      <c r="H265" s="77">
        <f>0</f>
        <v>0</v>
      </c>
    </row>
    <row r="266" spans="1:8" ht="48" x14ac:dyDescent="0.25">
      <c r="A266" s="101"/>
      <c r="B266" s="87"/>
      <c r="C266" s="12" t="s">
        <v>39</v>
      </c>
      <c r="D266" s="12" t="s">
        <v>300</v>
      </c>
      <c r="E266" s="76">
        <f>SUM(E267:E269)</f>
        <v>1800</v>
      </c>
      <c r="F266" s="76">
        <f>SUM(F267:F269)</f>
        <v>390</v>
      </c>
      <c r="G266" s="55" t="s">
        <v>754</v>
      </c>
      <c r="H266" s="77">
        <f>SUM(H267:H269)</f>
        <v>390</v>
      </c>
    </row>
    <row r="267" spans="1:8" ht="24" x14ac:dyDescent="0.25">
      <c r="A267" s="101"/>
      <c r="B267" s="87"/>
      <c r="C267" s="12" t="s">
        <v>624</v>
      </c>
      <c r="D267" s="12" t="s">
        <v>301</v>
      </c>
      <c r="E267" s="76">
        <f>800</f>
        <v>800</v>
      </c>
      <c r="F267" s="76">
        <f>390</f>
        <v>390</v>
      </c>
      <c r="G267" s="55" t="s">
        <v>414</v>
      </c>
      <c r="H267" s="77">
        <f>390</f>
        <v>390</v>
      </c>
    </row>
    <row r="268" spans="1:8" ht="36" x14ac:dyDescent="0.25">
      <c r="A268" s="101"/>
      <c r="B268" s="87"/>
      <c r="C268" s="12" t="s">
        <v>625</v>
      </c>
      <c r="D268" s="12" t="s">
        <v>302</v>
      </c>
      <c r="E268" s="76">
        <f>0</f>
        <v>0</v>
      </c>
      <c r="F268" s="76">
        <f>0</f>
        <v>0</v>
      </c>
      <c r="G268" s="55" t="s">
        <v>13</v>
      </c>
      <c r="H268" s="77">
        <f>0</f>
        <v>0</v>
      </c>
    </row>
    <row r="269" spans="1:8" ht="24" x14ac:dyDescent="0.25">
      <c r="A269" s="101"/>
      <c r="B269" s="87"/>
      <c r="C269" s="12" t="s">
        <v>626</v>
      </c>
      <c r="D269" s="12" t="s">
        <v>303</v>
      </c>
      <c r="E269" s="76">
        <f>1000</f>
        <v>1000</v>
      </c>
      <c r="F269" s="76">
        <f>0</f>
        <v>0</v>
      </c>
      <c r="G269" s="55" t="s">
        <v>59</v>
      </c>
      <c r="H269" s="77">
        <f>0</f>
        <v>0</v>
      </c>
    </row>
    <row r="270" spans="1:8" ht="24" x14ac:dyDescent="0.25">
      <c r="A270" s="101"/>
      <c r="B270" s="87"/>
      <c r="C270" s="13" t="s">
        <v>37</v>
      </c>
      <c r="D270" s="13" t="s">
        <v>304</v>
      </c>
      <c r="E270" s="78">
        <f>E271+E282+E284</f>
        <v>100</v>
      </c>
      <c r="F270" s="78">
        <f>F271+F282+F284</f>
        <v>0</v>
      </c>
      <c r="G270" s="60" t="s">
        <v>59</v>
      </c>
      <c r="H270" s="79">
        <f>H271+H282+H284</f>
        <v>0</v>
      </c>
    </row>
    <row r="271" spans="1:8" ht="24" x14ac:dyDescent="0.25">
      <c r="A271" s="101"/>
      <c r="B271" s="87"/>
      <c r="C271" s="12" t="s">
        <v>26</v>
      </c>
      <c r="D271" s="12" t="s">
        <v>305</v>
      </c>
      <c r="E271" s="76">
        <f>SUM(E272:E281)</f>
        <v>0</v>
      </c>
      <c r="F271" s="76">
        <f>SUM(F272:F281)</f>
        <v>0</v>
      </c>
      <c r="G271" s="55" t="s">
        <v>13</v>
      </c>
      <c r="H271" s="77">
        <f>SUM(H272:H281)</f>
        <v>0</v>
      </c>
    </row>
    <row r="272" spans="1:8" ht="24" x14ac:dyDescent="0.25">
      <c r="A272" s="101"/>
      <c r="B272" s="87"/>
      <c r="C272" s="12" t="s">
        <v>619</v>
      </c>
      <c r="D272" s="12" t="s">
        <v>306</v>
      </c>
      <c r="E272" s="76">
        <f>0</f>
        <v>0</v>
      </c>
      <c r="F272" s="76">
        <f>0</f>
        <v>0</v>
      </c>
      <c r="G272" s="55" t="s">
        <v>13</v>
      </c>
      <c r="H272" s="77">
        <f>0</f>
        <v>0</v>
      </c>
    </row>
    <row r="273" spans="1:8" ht="24" x14ac:dyDescent="0.25">
      <c r="A273" s="101"/>
      <c r="B273" s="87"/>
      <c r="C273" s="12" t="s">
        <v>620</v>
      </c>
      <c r="D273" s="12" t="s">
        <v>307</v>
      </c>
      <c r="E273" s="76">
        <f>0</f>
        <v>0</v>
      </c>
      <c r="F273" s="76">
        <f>0</f>
        <v>0</v>
      </c>
      <c r="G273" s="55" t="s">
        <v>13</v>
      </c>
      <c r="H273" s="77">
        <f>0</f>
        <v>0</v>
      </c>
    </row>
    <row r="274" spans="1:8" ht="24" x14ac:dyDescent="0.25">
      <c r="A274" s="101"/>
      <c r="B274" s="87"/>
      <c r="C274" s="12" t="s">
        <v>656</v>
      </c>
      <c r="D274" s="12" t="s">
        <v>308</v>
      </c>
      <c r="E274" s="76">
        <f>0</f>
        <v>0</v>
      </c>
      <c r="F274" s="76">
        <f>0</f>
        <v>0</v>
      </c>
      <c r="G274" s="55" t="s">
        <v>13</v>
      </c>
      <c r="H274" s="77">
        <f>0</f>
        <v>0</v>
      </c>
    </row>
    <row r="275" spans="1:8" ht="24" x14ac:dyDescent="0.25">
      <c r="A275" s="101"/>
      <c r="B275" s="87"/>
      <c r="C275" s="12" t="s">
        <v>621</v>
      </c>
      <c r="D275" s="12" t="s">
        <v>309</v>
      </c>
      <c r="E275" s="76">
        <f>0</f>
        <v>0</v>
      </c>
      <c r="F275" s="76">
        <f>0</f>
        <v>0</v>
      </c>
      <c r="G275" s="55" t="s">
        <v>13</v>
      </c>
      <c r="H275" s="77">
        <f>0</f>
        <v>0</v>
      </c>
    </row>
    <row r="276" spans="1:8" ht="24" x14ac:dyDescent="0.25">
      <c r="A276" s="101"/>
      <c r="B276" s="87"/>
      <c r="C276" s="12" t="s">
        <v>622</v>
      </c>
      <c r="D276" s="12" t="s">
        <v>310</v>
      </c>
      <c r="E276" s="76">
        <f>0</f>
        <v>0</v>
      </c>
      <c r="F276" s="76">
        <f>0</f>
        <v>0</v>
      </c>
      <c r="G276" s="55" t="s">
        <v>13</v>
      </c>
      <c r="H276" s="77">
        <f>0</f>
        <v>0</v>
      </c>
    </row>
    <row r="277" spans="1:8" ht="24" x14ac:dyDescent="0.25">
      <c r="A277" s="101"/>
      <c r="B277" s="87"/>
      <c r="C277" s="12" t="s">
        <v>666</v>
      </c>
      <c r="D277" s="12" t="s">
        <v>311</v>
      </c>
      <c r="E277" s="76">
        <f>0</f>
        <v>0</v>
      </c>
      <c r="F277" s="76">
        <f>0</f>
        <v>0</v>
      </c>
      <c r="G277" s="55" t="s">
        <v>13</v>
      </c>
      <c r="H277" s="77">
        <f>0</f>
        <v>0</v>
      </c>
    </row>
    <row r="278" spans="1:8" ht="24" x14ac:dyDescent="0.25">
      <c r="A278" s="101"/>
      <c r="B278" s="87"/>
      <c r="C278" s="12" t="s">
        <v>623</v>
      </c>
      <c r="D278" s="12" t="s">
        <v>312</v>
      </c>
      <c r="E278" s="76">
        <f>0</f>
        <v>0</v>
      </c>
      <c r="F278" s="76">
        <f>0</f>
        <v>0</v>
      </c>
      <c r="G278" s="55" t="s">
        <v>13</v>
      </c>
      <c r="H278" s="77">
        <f>0</f>
        <v>0</v>
      </c>
    </row>
    <row r="279" spans="1:8" ht="24" x14ac:dyDescent="0.25">
      <c r="A279" s="101"/>
      <c r="B279" s="87"/>
      <c r="C279" s="12" t="s">
        <v>667</v>
      </c>
      <c r="D279" s="12" t="s">
        <v>313</v>
      </c>
      <c r="E279" s="76">
        <f>0</f>
        <v>0</v>
      </c>
      <c r="F279" s="76">
        <f>0</f>
        <v>0</v>
      </c>
      <c r="G279" s="55" t="s">
        <v>13</v>
      </c>
      <c r="H279" s="77">
        <f>0</f>
        <v>0</v>
      </c>
    </row>
    <row r="280" spans="1:8" ht="24" x14ac:dyDescent="0.25">
      <c r="A280" s="101"/>
      <c r="B280" s="87"/>
      <c r="C280" s="12" t="s">
        <v>668</v>
      </c>
      <c r="D280" s="12" t="s">
        <v>314</v>
      </c>
      <c r="E280" s="76">
        <f>0</f>
        <v>0</v>
      </c>
      <c r="F280" s="76">
        <f>0</f>
        <v>0</v>
      </c>
      <c r="G280" s="55" t="s">
        <v>13</v>
      </c>
      <c r="H280" s="77">
        <f>0</f>
        <v>0</v>
      </c>
    </row>
    <row r="281" spans="1:8" ht="24" x14ac:dyDescent="0.25">
      <c r="A281" s="101"/>
      <c r="B281" s="87"/>
      <c r="C281" s="12" t="s">
        <v>747</v>
      </c>
      <c r="D281" s="12" t="s">
        <v>315</v>
      </c>
      <c r="E281" s="76">
        <f>0</f>
        <v>0</v>
      </c>
      <c r="F281" s="76">
        <f>0</f>
        <v>0</v>
      </c>
      <c r="G281" s="55" t="s">
        <v>13</v>
      </c>
      <c r="H281" s="77">
        <f>0</f>
        <v>0</v>
      </c>
    </row>
    <row r="282" spans="1:8" x14ac:dyDescent="0.25">
      <c r="A282" s="101"/>
      <c r="B282" s="87"/>
      <c r="C282" s="12" t="s">
        <v>46</v>
      </c>
      <c r="D282" s="12" t="s">
        <v>316</v>
      </c>
      <c r="E282" s="76">
        <f>E283</f>
        <v>100</v>
      </c>
      <c r="F282" s="76">
        <f>F283</f>
        <v>0</v>
      </c>
      <c r="G282" s="55" t="s">
        <v>59</v>
      </c>
      <c r="H282" s="77">
        <f>H283</f>
        <v>0</v>
      </c>
    </row>
    <row r="283" spans="1:8" ht="24" x14ac:dyDescent="0.25">
      <c r="A283" s="101"/>
      <c r="B283" s="87"/>
      <c r="C283" s="12" t="s">
        <v>627</v>
      </c>
      <c r="D283" s="12" t="s">
        <v>317</v>
      </c>
      <c r="E283" s="76">
        <f>100</f>
        <v>100</v>
      </c>
      <c r="F283" s="76">
        <f>0</f>
        <v>0</v>
      </c>
      <c r="G283" s="55" t="s">
        <v>59</v>
      </c>
      <c r="H283" s="77">
        <f>0</f>
        <v>0</v>
      </c>
    </row>
    <row r="284" spans="1:8" ht="24" x14ac:dyDescent="0.25">
      <c r="A284" s="101"/>
      <c r="B284" s="87"/>
      <c r="C284" s="12" t="s">
        <v>14</v>
      </c>
      <c r="D284" s="12" t="s">
        <v>318</v>
      </c>
      <c r="E284" s="76">
        <f>E285</f>
        <v>0</v>
      </c>
      <c r="F284" s="76">
        <f>F285</f>
        <v>0</v>
      </c>
      <c r="G284" s="55" t="s">
        <v>13</v>
      </c>
      <c r="H284" s="77">
        <f>H285</f>
        <v>0</v>
      </c>
    </row>
    <row r="285" spans="1:8" ht="24" x14ac:dyDescent="0.25">
      <c r="A285" s="101"/>
      <c r="B285" s="87"/>
      <c r="C285" s="12" t="s">
        <v>617</v>
      </c>
      <c r="D285" s="12" t="s">
        <v>319</v>
      </c>
      <c r="E285" s="76">
        <f>0</f>
        <v>0</v>
      </c>
      <c r="F285" s="76">
        <f>0</f>
        <v>0</v>
      </c>
      <c r="G285" s="55" t="s">
        <v>13</v>
      </c>
      <c r="H285" s="77">
        <f>0</f>
        <v>0</v>
      </c>
    </row>
    <row r="286" spans="1:8" x14ac:dyDescent="0.25">
      <c r="A286" s="101"/>
      <c r="B286" s="87"/>
      <c r="C286" s="13" t="s">
        <v>49</v>
      </c>
      <c r="D286" s="13" t="s">
        <v>50</v>
      </c>
      <c r="E286" s="78">
        <f>E287</f>
        <v>632</v>
      </c>
      <c r="F286" s="78">
        <f>F287</f>
        <v>396.78</v>
      </c>
      <c r="G286" s="60" t="s">
        <v>755</v>
      </c>
      <c r="H286" s="79">
        <f>H287</f>
        <v>396.78</v>
      </c>
    </row>
    <row r="287" spans="1:8" ht="24" x14ac:dyDescent="0.25">
      <c r="A287" s="101"/>
      <c r="B287" s="87"/>
      <c r="C287" s="12" t="s">
        <v>26</v>
      </c>
      <c r="D287" s="12" t="s">
        <v>51</v>
      </c>
      <c r="E287" s="76">
        <f>E288+E289+E290+E291</f>
        <v>632</v>
      </c>
      <c r="F287" s="76">
        <f>F288+F289+F290+F291</f>
        <v>396.78</v>
      </c>
      <c r="G287" s="55" t="s">
        <v>755</v>
      </c>
      <c r="H287" s="77">
        <f>H288+H289+H290+H291</f>
        <v>396.78</v>
      </c>
    </row>
    <row r="288" spans="1:8" ht="36" x14ac:dyDescent="0.25">
      <c r="A288" s="101"/>
      <c r="B288" s="87"/>
      <c r="C288" s="12" t="s">
        <v>619</v>
      </c>
      <c r="D288" s="12" t="s">
        <v>320</v>
      </c>
      <c r="E288" s="76">
        <f>632</f>
        <v>632</v>
      </c>
      <c r="F288" s="76">
        <f>396.78</f>
        <v>396.78</v>
      </c>
      <c r="G288" s="55" t="s">
        <v>755</v>
      </c>
      <c r="H288" s="77">
        <f>396.78</f>
        <v>396.78</v>
      </c>
    </row>
    <row r="289" spans="1:8" ht="36" x14ac:dyDescent="0.25">
      <c r="A289" s="101"/>
      <c r="B289" s="87"/>
      <c r="C289" s="12" t="s">
        <v>620</v>
      </c>
      <c r="D289" s="12" t="s">
        <v>321</v>
      </c>
      <c r="E289" s="76">
        <f>0</f>
        <v>0</v>
      </c>
      <c r="F289" s="76">
        <f>0</f>
        <v>0</v>
      </c>
      <c r="G289" s="55" t="s">
        <v>13</v>
      </c>
      <c r="H289" s="77">
        <f>0</f>
        <v>0</v>
      </c>
    </row>
    <row r="290" spans="1:8" ht="24" x14ac:dyDescent="0.25">
      <c r="A290" s="101"/>
      <c r="B290" s="87"/>
      <c r="C290" s="12" t="s">
        <v>656</v>
      </c>
      <c r="D290" s="12" t="s">
        <v>322</v>
      </c>
      <c r="E290" s="76">
        <f>0</f>
        <v>0</v>
      </c>
      <c r="F290" s="76">
        <f>0</f>
        <v>0</v>
      </c>
      <c r="G290" s="55" t="s">
        <v>13</v>
      </c>
      <c r="H290" s="77">
        <f>0</f>
        <v>0</v>
      </c>
    </row>
    <row r="291" spans="1:8" ht="36" x14ac:dyDescent="0.25">
      <c r="A291" s="102"/>
      <c r="B291" s="88"/>
      <c r="C291" s="12" t="s">
        <v>621</v>
      </c>
      <c r="D291" s="12" t="s">
        <v>323</v>
      </c>
      <c r="E291" s="76">
        <f>0</f>
        <v>0</v>
      </c>
      <c r="F291" s="76">
        <f>0</f>
        <v>0</v>
      </c>
      <c r="G291" s="55" t="s">
        <v>13</v>
      </c>
      <c r="H291" s="77">
        <f>0</f>
        <v>0</v>
      </c>
    </row>
    <row r="292" spans="1:8" ht="20.100000000000001" customHeight="1" thickBot="1" x14ac:dyDescent="0.3">
      <c r="A292" s="103" t="s">
        <v>22</v>
      </c>
      <c r="B292" s="104"/>
      <c r="C292" s="104"/>
      <c r="D292" s="105"/>
      <c r="E292" s="91">
        <f>E259+E270+E286</f>
        <v>3512</v>
      </c>
      <c r="F292" s="91">
        <f>F259+F270+F286</f>
        <v>786.78</v>
      </c>
      <c r="G292" s="67" t="s">
        <v>756</v>
      </c>
      <c r="H292" s="92">
        <f>H259+H270+H286</f>
        <v>786.78</v>
      </c>
    </row>
    <row r="293" spans="1:8" x14ac:dyDescent="0.25">
      <c r="A293" s="100">
        <v>11</v>
      </c>
      <c r="B293" s="86" t="s">
        <v>324</v>
      </c>
      <c r="C293" s="45" t="s">
        <v>11</v>
      </c>
      <c r="D293" s="45" t="s">
        <v>325</v>
      </c>
      <c r="E293" s="106">
        <f>E294+E299+E308+E312</f>
        <v>93028.22</v>
      </c>
      <c r="F293" s="106">
        <f>F294+F299+F308+F312</f>
        <v>10492.640000000001</v>
      </c>
      <c r="G293" s="72" t="s">
        <v>764</v>
      </c>
      <c r="H293" s="107">
        <f>H294+H299+H308+H312</f>
        <v>10492.640000000001</v>
      </c>
    </row>
    <row r="294" spans="1:8" ht="24" x14ac:dyDescent="0.25">
      <c r="A294" s="101"/>
      <c r="B294" s="87"/>
      <c r="C294" s="12" t="s">
        <v>46</v>
      </c>
      <c r="D294" s="12" t="s">
        <v>326</v>
      </c>
      <c r="E294" s="108">
        <f>E295+E296+E297+E298</f>
        <v>0</v>
      </c>
      <c r="F294" s="108">
        <f>F296+F295+F297+F298</f>
        <v>0</v>
      </c>
      <c r="G294" s="55" t="s">
        <v>164</v>
      </c>
      <c r="H294" s="109">
        <f>H296+H295+H297+H298</f>
        <v>0</v>
      </c>
    </row>
    <row r="295" spans="1:8" ht="24" x14ac:dyDescent="0.25">
      <c r="A295" s="101"/>
      <c r="B295" s="87"/>
      <c r="C295" s="12" t="s">
        <v>627</v>
      </c>
      <c r="D295" s="12" t="s">
        <v>327</v>
      </c>
      <c r="E295" s="108">
        <f>0</f>
        <v>0</v>
      </c>
      <c r="F295" s="108">
        <f>0</f>
        <v>0</v>
      </c>
      <c r="G295" s="55" t="s">
        <v>164</v>
      </c>
      <c r="H295" s="109">
        <f>0</f>
        <v>0</v>
      </c>
    </row>
    <row r="296" spans="1:8" ht="24" x14ac:dyDescent="0.25">
      <c r="A296" s="101"/>
      <c r="B296" s="87"/>
      <c r="C296" s="12" t="s">
        <v>659</v>
      </c>
      <c r="D296" s="12" t="s">
        <v>328</v>
      </c>
      <c r="E296" s="108">
        <f>0</f>
        <v>0</v>
      </c>
      <c r="F296" s="108">
        <f>0</f>
        <v>0</v>
      </c>
      <c r="G296" s="55" t="s">
        <v>164</v>
      </c>
      <c r="H296" s="109">
        <f>0</f>
        <v>0</v>
      </c>
    </row>
    <row r="297" spans="1:8" ht="108" x14ac:dyDescent="0.25">
      <c r="A297" s="101"/>
      <c r="B297" s="87"/>
      <c r="C297" s="12" t="s">
        <v>660</v>
      </c>
      <c r="D297" s="12" t="s">
        <v>329</v>
      </c>
      <c r="E297" s="108">
        <f>0</f>
        <v>0</v>
      </c>
      <c r="F297" s="108">
        <f>0</f>
        <v>0</v>
      </c>
      <c r="G297" s="55" t="s">
        <v>164</v>
      </c>
      <c r="H297" s="109">
        <f>0</f>
        <v>0</v>
      </c>
    </row>
    <row r="298" spans="1:8" ht="48" x14ac:dyDescent="0.25">
      <c r="A298" s="101"/>
      <c r="B298" s="87"/>
      <c r="C298" s="12" t="s">
        <v>663</v>
      </c>
      <c r="D298" s="12" t="s">
        <v>330</v>
      </c>
      <c r="E298" s="108">
        <f>0</f>
        <v>0</v>
      </c>
      <c r="F298" s="108">
        <f>0</f>
        <v>0</v>
      </c>
      <c r="G298" s="55" t="s">
        <v>164</v>
      </c>
      <c r="H298" s="109">
        <f>0</f>
        <v>0</v>
      </c>
    </row>
    <row r="299" spans="1:8" ht="24" x14ac:dyDescent="0.25">
      <c r="A299" s="101"/>
      <c r="B299" s="87"/>
      <c r="C299" s="12" t="s">
        <v>116</v>
      </c>
      <c r="D299" s="12" t="s">
        <v>331</v>
      </c>
      <c r="E299" s="108">
        <f>E300</f>
        <v>93028.22</v>
      </c>
      <c r="F299" s="108">
        <f>F300</f>
        <v>10492.640000000001</v>
      </c>
      <c r="G299" s="55" t="s">
        <v>764</v>
      </c>
      <c r="H299" s="109">
        <f>H300</f>
        <v>10492.640000000001</v>
      </c>
    </row>
    <row r="300" spans="1:8" ht="60" x14ac:dyDescent="0.25">
      <c r="A300" s="101"/>
      <c r="B300" s="87"/>
      <c r="C300" s="12" t="s">
        <v>751</v>
      </c>
      <c r="D300" s="12" t="s">
        <v>332</v>
      </c>
      <c r="E300" s="108">
        <f>E301+E302+E303</f>
        <v>93028.22</v>
      </c>
      <c r="F300" s="108">
        <f>F301+F302+F303</f>
        <v>10492.640000000001</v>
      </c>
      <c r="G300" s="55" t="s">
        <v>764</v>
      </c>
      <c r="H300" s="109">
        <f>H301+H302+H303</f>
        <v>10492.640000000001</v>
      </c>
    </row>
    <row r="301" spans="1:8" ht="48" x14ac:dyDescent="0.25">
      <c r="A301" s="101"/>
      <c r="B301" s="87"/>
      <c r="C301" s="12" t="s">
        <v>770</v>
      </c>
      <c r="D301" s="12" t="s">
        <v>757</v>
      </c>
      <c r="E301" s="108">
        <f>2495.17+11500+9796.31</f>
        <v>23791.48</v>
      </c>
      <c r="F301" s="108">
        <f>70.27+323.85+275.88</f>
        <v>670</v>
      </c>
      <c r="G301" s="55" t="s">
        <v>765</v>
      </c>
      <c r="H301" s="109">
        <f>70.27+323.85+275.88</f>
        <v>670</v>
      </c>
    </row>
    <row r="302" spans="1:8" ht="60" x14ac:dyDescent="0.25">
      <c r="A302" s="101"/>
      <c r="B302" s="87"/>
      <c r="C302" s="12" t="s">
        <v>771</v>
      </c>
      <c r="D302" s="12" t="s">
        <v>758</v>
      </c>
      <c r="E302" s="108">
        <f>2217.81+10221.7+8707.39</f>
        <v>21146.9</v>
      </c>
      <c r="F302" s="108">
        <f>1024.61+4722.31+4022.71</f>
        <v>9769.630000000001</v>
      </c>
      <c r="G302" s="55" t="s">
        <v>454</v>
      </c>
      <c r="H302" s="109">
        <f>1024.61+4722.31+4022.71</f>
        <v>9769.630000000001</v>
      </c>
    </row>
    <row r="303" spans="1:8" ht="24" x14ac:dyDescent="0.25">
      <c r="A303" s="101"/>
      <c r="B303" s="87"/>
      <c r="C303" s="12" t="s">
        <v>772</v>
      </c>
      <c r="D303" s="12" t="s">
        <v>759</v>
      </c>
      <c r="E303" s="108">
        <f>E304+E305+E306+E307</f>
        <v>48089.84</v>
      </c>
      <c r="F303" s="108">
        <f>F304+F305+F306+F307</f>
        <v>53.01</v>
      </c>
      <c r="G303" s="55" t="s">
        <v>766</v>
      </c>
      <c r="H303" s="109">
        <f>H304+H305+H306+H307</f>
        <v>53.01</v>
      </c>
    </row>
    <row r="304" spans="1:8" ht="36" x14ac:dyDescent="0.25">
      <c r="A304" s="101"/>
      <c r="B304" s="87"/>
      <c r="C304" s="12" t="s">
        <v>773</v>
      </c>
      <c r="D304" s="12" t="s">
        <v>760</v>
      </c>
      <c r="E304" s="108">
        <f>2517.04+9882.17+11600.79</f>
        <v>24000</v>
      </c>
      <c r="F304" s="108">
        <f>0</f>
        <v>0</v>
      </c>
      <c r="G304" s="55" t="s">
        <v>59</v>
      </c>
      <c r="H304" s="109">
        <f>0</f>
        <v>0</v>
      </c>
    </row>
    <row r="305" spans="1:8" ht="24" x14ac:dyDescent="0.25">
      <c r="A305" s="101"/>
      <c r="B305" s="87"/>
      <c r="C305" s="12" t="s">
        <v>774</v>
      </c>
      <c r="D305" s="12" t="s">
        <v>761</v>
      </c>
      <c r="E305" s="108">
        <f>2495+9795.63+11499.21</f>
        <v>23789.839999999997</v>
      </c>
      <c r="F305" s="108">
        <f>0</f>
        <v>0</v>
      </c>
      <c r="G305" s="55" t="s">
        <v>59</v>
      </c>
      <c r="H305" s="109">
        <f>0</f>
        <v>0</v>
      </c>
    </row>
    <row r="306" spans="1:8" ht="48" x14ac:dyDescent="0.25">
      <c r="A306" s="101"/>
      <c r="B306" s="87"/>
      <c r="C306" s="12" t="s">
        <v>775</v>
      </c>
      <c r="D306" s="12" t="s">
        <v>762</v>
      </c>
      <c r="E306" s="108">
        <f>131.86</f>
        <v>131.86000000000001</v>
      </c>
      <c r="F306" s="108">
        <f>53.01</f>
        <v>53.01</v>
      </c>
      <c r="G306" s="55" t="s">
        <v>767</v>
      </c>
      <c r="H306" s="109">
        <f>53.01</f>
        <v>53.01</v>
      </c>
    </row>
    <row r="307" spans="1:8" ht="36" x14ac:dyDescent="0.25">
      <c r="A307" s="101"/>
      <c r="B307" s="87"/>
      <c r="C307" s="12" t="s">
        <v>776</v>
      </c>
      <c r="D307" s="12" t="s">
        <v>763</v>
      </c>
      <c r="E307" s="108">
        <f>168.14</f>
        <v>168.14</v>
      </c>
      <c r="F307" s="108">
        <f>0</f>
        <v>0</v>
      </c>
      <c r="G307" s="55" t="s">
        <v>59</v>
      </c>
      <c r="H307" s="109">
        <f>0</f>
        <v>0</v>
      </c>
    </row>
    <row r="308" spans="1:8" ht="24" x14ac:dyDescent="0.25">
      <c r="A308" s="101"/>
      <c r="B308" s="87"/>
      <c r="C308" s="12" t="s">
        <v>278</v>
      </c>
      <c r="D308" s="12" t="s">
        <v>333</v>
      </c>
      <c r="E308" s="108">
        <f>E309+E310+E311</f>
        <v>0</v>
      </c>
      <c r="F308" s="108">
        <f>F309+F310+F311</f>
        <v>0</v>
      </c>
      <c r="G308" s="55" t="s">
        <v>164</v>
      </c>
      <c r="H308" s="109">
        <f>H309+H310+H311</f>
        <v>0</v>
      </c>
    </row>
    <row r="309" spans="1:8" ht="24" x14ac:dyDescent="0.25">
      <c r="A309" s="101"/>
      <c r="B309" s="87"/>
      <c r="C309" s="12" t="s">
        <v>777</v>
      </c>
      <c r="D309" s="12" t="s">
        <v>334</v>
      </c>
      <c r="E309" s="108">
        <f>0</f>
        <v>0</v>
      </c>
      <c r="F309" s="108">
        <f>0</f>
        <v>0</v>
      </c>
      <c r="G309" s="55" t="s">
        <v>164</v>
      </c>
      <c r="H309" s="109">
        <f>0</f>
        <v>0</v>
      </c>
    </row>
    <row r="310" spans="1:8" ht="24" x14ac:dyDescent="0.25">
      <c r="A310" s="101"/>
      <c r="B310" s="87"/>
      <c r="C310" s="12" t="s">
        <v>778</v>
      </c>
      <c r="D310" s="12" t="s">
        <v>335</v>
      </c>
      <c r="E310" s="108">
        <f>0</f>
        <v>0</v>
      </c>
      <c r="F310" s="108">
        <f>0</f>
        <v>0</v>
      </c>
      <c r="G310" s="55" t="s">
        <v>164</v>
      </c>
      <c r="H310" s="109">
        <f>0</f>
        <v>0</v>
      </c>
    </row>
    <row r="311" spans="1:8" ht="24" x14ac:dyDescent="0.25">
      <c r="A311" s="101"/>
      <c r="B311" s="87"/>
      <c r="C311" s="12" t="s">
        <v>779</v>
      </c>
      <c r="D311" s="12" t="s">
        <v>336</v>
      </c>
      <c r="E311" s="108">
        <f>0</f>
        <v>0</v>
      </c>
      <c r="F311" s="108">
        <f>0</f>
        <v>0</v>
      </c>
      <c r="G311" s="55" t="s">
        <v>164</v>
      </c>
      <c r="H311" s="109">
        <f>0</f>
        <v>0</v>
      </c>
    </row>
    <row r="312" spans="1:8" ht="36" x14ac:dyDescent="0.25">
      <c r="A312" s="101"/>
      <c r="B312" s="87"/>
      <c r="C312" s="12" t="s">
        <v>337</v>
      </c>
      <c r="D312" s="12" t="s">
        <v>338</v>
      </c>
      <c r="E312" s="108">
        <f>E313</f>
        <v>0</v>
      </c>
      <c r="F312" s="108">
        <f>F313</f>
        <v>0</v>
      </c>
      <c r="G312" s="55" t="s">
        <v>164</v>
      </c>
      <c r="H312" s="109">
        <f>H313</f>
        <v>0</v>
      </c>
    </row>
    <row r="313" spans="1:8" ht="36" x14ac:dyDescent="0.25">
      <c r="A313" s="101"/>
      <c r="B313" s="87"/>
      <c r="C313" s="12" t="s">
        <v>780</v>
      </c>
      <c r="D313" s="12" t="s">
        <v>339</v>
      </c>
      <c r="E313" s="108">
        <f>0</f>
        <v>0</v>
      </c>
      <c r="F313" s="108">
        <v>0</v>
      </c>
      <c r="G313" s="55" t="s">
        <v>164</v>
      </c>
      <c r="H313" s="109">
        <v>0</v>
      </c>
    </row>
    <row r="314" spans="1:8" ht="24" x14ac:dyDescent="0.25">
      <c r="A314" s="101"/>
      <c r="B314" s="87"/>
      <c r="C314" s="13" t="s">
        <v>24</v>
      </c>
      <c r="D314" s="13" t="s">
        <v>340</v>
      </c>
      <c r="E314" s="110">
        <f>E315+E317+E319+E322</f>
        <v>0</v>
      </c>
      <c r="F314" s="110">
        <f>F315+F317+F319+F322</f>
        <v>0</v>
      </c>
      <c r="G314" s="60" t="s">
        <v>164</v>
      </c>
      <c r="H314" s="111">
        <f>H315+H317+H319+H322</f>
        <v>0</v>
      </c>
    </row>
    <row r="315" spans="1:8" ht="24" x14ac:dyDescent="0.25">
      <c r="A315" s="101"/>
      <c r="B315" s="87"/>
      <c r="C315" s="12" t="s">
        <v>26</v>
      </c>
      <c r="D315" s="12" t="s">
        <v>341</v>
      </c>
      <c r="E315" s="108">
        <f>E316</f>
        <v>0</v>
      </c>
      <c r="F315" s="108">
        <f>F316</f>
        <v>0</v>
      </c>
      <c r="G315" s="55" t="s">
        <v>164</v>
      </c>
      <c r="H315" s="109">
        <f>H316</f>
        <v>0</v>
      </c>
    </row>
    <row r="316" spans="1:8" ht="24" x14ac:dyDescent="0.25">
      <c r="A316" s="101"/>
      <c r="B316" s="87"/>
      <c r="C316" s="12" t="s">
        <v>619</v>
      </c>
      <c r="D316" s="12" t="s">
        <v>342</v>
      </c>
      <c r="E316" s="108">
        <f>0</f>
        <v>0</v>
      </c>
      <c r="F316" s="108">
        <f>0</f>
        <v>0</v>
      </c>
      <c r="G316" s="55" t="s">
        <v>164</v>
      </c>
      <c r="H316" s="109">
        <f>0</f>
        <v>0</v>
      </c>
    </row>
    <row r="317" spans="1:8" ht="24" x14ac:dyDescent="0.25">
      <c r="A317" s="101"/>
      <c r="B317" s="87"/>
      <c r="C317" s="12" t="s">
        <v>46</v>
      </c>
      <c r="D317" s="12" t="s">
        <v>343</v>
      </c>
      <c r="E317" s="108">
        <f>E318</f>
        <v>0</v>
      </c>
      <c r="F317" s="108">
        <f>F318</f>
        <v>0</v>
      </c>
      <c r="G317" s="55" t="s">
        <v>164</v>
      </c>
      <c r="H317" s="109">
        <f>H318</f>
        <v>0</v>
      </c>
    </row>
    <row r="318" spans="1:8" ht="36" x14ac:dyDescent="0.25">
      <c r="A318" s="101"/>
      <c r="B318" s="87"/>
      <c r="C318" s="12" t="s">
        <v>627</v>
      </c>
      <c r="D318" s="12" t="s">
        <v>344</v>
      </c>
      <c r="E318" s="108">
        <f>0</f>
        <v>0</v>
      </c>
      <c r="F318" s="108">
        <f>0</f>
        <v>0</v>
      </c>
      <c r="G318" s="55" t="s">
        <v>164</v>
      </c>
      <c r="H318" s="109">
        <f>0</f>
        <v>0</v>
      </c>
    </row>
    <row r="319" spans="1:8" ht="48" x14ac:dyDescent="0.25">
      <c r="A319" s="101"/>
      <c r="B319" s="87"/>
      <c r="C319" s="12" t="s">
        <v>14</v>
      </c>
      <c r="D319" s="12" t="s">
        <v>345</v>
      </c>
      <c r="E319" s="108">
        <f>E320+E321</f>
        <v>0</v>
      </c>
      <c r="F319" s="108">
        <f>F320+F321</f>
        <v>0</v>
      </c>
      <c r="G319" s="55" t="s">
        <v>164</v>
      </c>
      <c r="H319" s="109">
        <f>H320+H321</f>
        <v>0</v>
      </c>
    </row>
    <row r="320" spans="1:8" ht="72" x14ac:dyDescent="0.25">
      <c r="A320" s="101"/>
      <c r="B320" s="87"/>
      <c r="C320" s="12" t="s">
        <v>617</v>
      </c>
      <c r="D320" s="12" t="s">
        <v>346</v>
      </c>
      <c r="E320" s="108">
        <f>0</f>
        <v>0</v>
      </c>
      <c r="F320" s="108">
        <f>0</f>
        <v>0</v>
      </c>
      <c r="G320" s="55" t="s">
        <v>164</v>
      </c>
      <c r="H320" s="109">
        <f>0</f>
        <v>0</v>
      </c>
    </row>
    <row r="321" spans="1:8" ht="108" x14ac:dyDescent="0.25">
      <c r="A321" s="101"/>
      <c r="B321" s="87"/>
      <c r="C321" s="12" t="s">
        <v>618</v>
      </c>
      <c r="D321" s="12" t="s">
        <v>347</v>
      </c>
      <c r="E321" s="108">
        <f>0</f>
        <v>0</v>
      </c>
      <c r="F321" s="108">
        <f>0</f>
        <v>0</v>
      </c>
      <c r="G321" s="55" t="s">
        <v>164</v>
      </c>
      <c r="H321" s="109">
        <f>0</f>
        <v>0</v>
      </c>
    </row>
    <row r="322" spans="1:8" ht="48" x14ac:dyDescent="0.25">
      <c r="A322" s="101"/>
      <c r="B322" s="87"/>
      <c r="C322" s="12" t="s">
        <v>116</v>
      </c>
      <c r="D322" s="12" t="s">
        <v>348</v>
      </c>
      <c r="E322" s="108">
        <f>E323</f>
        <v>0</v>
      </c>
      <c r="F322" s="108">
        <f>F323</f>
        <v>0</v>
      </c>
      <c r="G322" s="55" t="s">
        <v>768</v>
      </c>
      <c r="H322" s="109">
        <f>H323</f>
        <v>0</v>
      </c>
    </row>
    <row r="323" spans="1:8" ht="48" x14ac:dyDescent="0.25">
      <c r="A323" s="101"/>
      <c r="B323" s="87"/>
      <c r="C323" s="12" t="s">
        <v>781</v>
      </c>
      <c r="D323" s="12" t="s">
        <v>349</v>
      </c>
      <c r="E323" s="108">
        <f>0</f>
        <v>0</v>
      </c>
      <c r="F323" s="108">
        <f>0</f>
        <v>0</v>
      </c>
      <c r="G323" s="55" t="s">
        <v>768</v>
      </c>
      <c r="H323" s="109">
        <f>0</f>
        <v>0</v>
      </c>
    </row>
    <row r="324" spans="1:8" x14ac:dyDescent="0.25">
      <c r="A324" s="101"/>
      <c r="B324" s="87"/>
      <c r="C324" s="13" t="s">
        <v>30</v>
      </c>
      <c r="D324" s="13" t="s">
        <v>350</v>
      </c>
      <c r="E324" s="110">
        <f>E325+E327</f>
        <v>5700</v>
      </c>
      <c r="F324" s="110">
        <f>F325+F327</f>
        <v>0</v>
      </c>
      <c r="G324" s="60" t="s">
        <v>59</v>
      </c>
      <c r="H324" s="111">
        <f>H325+H327</f>
        <v>0</v>
      </c>
    </row>
    <row r="325" spans="1:8" ht="48" x14ac:dyDescent="0.25">
      <c r="A325" s="101"/>
      <c r="B325" s="87"/>
      <c r="C325" s="12" t="s">
        <v>351</v>
      </c>
      <c r="D325" s="12" t="s">
        <v>352</v>
      </c>
      <c r="E325" s="108">
        <f>E326</f>
        <v>0</v>
      </c>
      <c r="F325" s="108">
        <f>F326</f>
        <v>0</v>
      </c>
      <c r="G325" s="55" t="s">
        <v>723</v>
      </c>
      <c r="H325" s="109">
        <f>H326</f>
        <v>0</v>
      </c>
    </row>
    <row r="326" spans="1:8" ht="48" x14ac:dyDescent="0.25">
      <c r="A326" s="101"/>
      <c r="B326" s="87"/>
      <c r="C326" s="12" t="s">
        <v>782</v>
      </c>
      <c r="D326" s="12" t="s">
        <v>353</v>
      </c>
      <c r="E326" s="108">
        <f>0</f>
        <v>0</v>
      </c>
      <c r="F326" s="108">
        <f>0</f>
        <v>0</v>
      </c>
      <c r="G326" s="55" t="s">
        <v>723</v>
      </c>
      <c r="H326" s="109">
        <f>0</f>
        <v>0</v>
      </c>
    </row>
    <row r="327" spans="1:8" ht="24" x14ac:dyDescent="0.25">
      <c r="A327" s="101"/>
      <c r="B327" s="87"/>
      <c r="C327" s="12" t="s">
        <v>46</v>
      </c>
      <c r="D327" s="12" t="s">
        <v>354</v>
      </c>
      <c r="E327" s="108">
        <f>E328+E329+E330+E331</f>
        <v>5700</v>
      </c>
      <c r="F327" s="108">
        <f>F328+F329+F331</f>
        <v>0</v>
      </c>
      <c r="G327" s="55" t="s">
        <v>59</v>
      </c>
      <c r="H327" s="109">
        <f>H328+H329+H331</f>
        <v>0</v>
      </c>
    </row>
    <row r="328" spans="1:8" ht="36" x14ac:dyDescent="0.25">
      <c r="A328" s="101"/>
      <c r="B328" s="87"/>
      <c r="C328" s="12" t="s">
        <v>627</v>
      </c>
      <c r="D328" s="12" t="s">
        <v>355</v>
      </c>
      <c r="E328" s="108">
        <f>1000</f>
        <v>1000</v>
      </c>
      <c r="F328" s="108">
        <f>0</f>
        <v>0</v>
      </c>
      <c r="G328" s="55" t="s">
        <v>59</v>
      </c>
      <c r="H328" s="109">
        <f>0</f>
        <v>0</v>
      </c>
    </row>
    <row r="329" spans="1:8" ht="48" x14ac:dyDescent="0.25">
      <c r="A329" s="101"/>
      <c r="B329" s="87"/>
      <c r="C329" s="12" t="s">
        <v>659</v>
      </c>
      <c r="D329" s="12" t="s">
        <v>356</v>
      </c>
      <c r="E329" s="108">
        <f>4400</f>
        <v>4400</v>
      </c>
      <c r="F329" s="108">
        <f>0</f>
        <v>0</v>
      </c>
      <c r="G329" s="55" t="s">
        <v>769</v>
      </c>
      <c r="H329" s="109">
        <f>0</f>
        <v>0</v>
      </c>
    </row>
    <row r="330" spans="1:8" ht="180" x14ac:dyDescent="0.25">
      <c r="A330" s="101"/>
      <c r="B330" s="87"/>
      <c r="C330" s="12" t="s">
        <v>660</v>
      </c>
      <c r="D330" s="12" t="s">
        <v>357</v>
      </c>
      <c r="E330" s="108">
        <f>0</f>
        <v>0</v>
      </c>
      <c r="F330" s="108">
        <f>0</f>
        <v>0</v>
      </c>
      <c r="G330" s="55" t="s">
        <v>13</v>
      </c>
      <c r="H330" s="109">
        <f>0</f>
        <v>0</v>
      </c>
    </row>
    <row r="331" spans="1:8" ht="24" x14ac:dyDescent="0.25">
      <c r="A331" s="101"/>
      <c r="B331" s="87"/>
      <c r="C331" s="12" t="s">
        <v>661</v>
      </c>
      <c r="D331" s="12" t="s">
        <v>358</v>
      </c>
      <c r="E331" s="108">
        <f>300</f>
        <v>300</v>
      </c>
      <c r="F331" s="108">
        <f>0</f>
        <v>0</v>
      </c>
      <c r="G331" s="55" t="s">
        <v>59</v>
      </c>
      <c r="H331" s="109">
        <f>0</f>
        <v>0</v>
      </c>
    </row>
    <row r="332" spans="1:8" ht="24" x14ac:dyDescent="0.25">
      <c r="A332" s="101"/>
      <c r="B332" s="87"/>
      <c r="C332" s="13" t="s">
        <v>37</v>
      </c>
      <c r="D332" s="13" t="s">
        <v>359</v>
      </c>
      <c r="E332" s="110">
        <f>E333+E339+E341+E343</f>
        <v>0</v>
      </c>
      <c r="F332" s="110">
        <f>F333+F339+F341+F343</f>
        <v>0</v>
      </c>
      <c r="G332" s="60" t="s">
        <v>164</v>
      </c>
      <c r="H332" s="111">
        <f>H333+H339+H341+H343</f>
        <v>0</v>
      </c>
    </row>
    <row r="333" spans="1:8" ht="24" x14ac:dyDescent="0.25">
      <c r="A333" s="101"/>
      <c r="B333" s="87"/>
      <c r="C333" s="12" t="s">
        <v>26</v>
      </c>
      <c r="D333" s="12" t="s">
        <v>360</v>
      </c>
      <c r="E333" s="108">
        <f>E334+E335+E336+E337+E338</f>
        <v>0</v>
      </c>
      <c r="F333" s="108">
        <f>F334+F335+F336+F337+F338</f>
        <v>0</v>
      </c>
      <c r="G333" s="55" t="s">
        <v>164</v>
      </c>
      <c r="H333" s="109">
        <f>H334+H335+H336+H337+H338</f>
        <v>0</v>
      </c>
    </row>
    <row r="334" spans="1:8" ht="24" x14ac:dyDescent="0.25">
      <c r="A334" s="101"/>
      <c r="B334" s="87"/>
      <c r="C334" s="12" t="s">
        <v>619</v>
      </c>
      <c r="D334" s="12" t="s">
        <v>361</v>
      </c>
      <c r="E334" s="108">
        <f>0</f>
        <v>0</v>
      </c>
      <c r="F334" s="108">
        <f>0</f>
        <v>0</v>
      </c>
      <c r="G334" s="55" t="s">
        <v>164</v>
      </c>
      <c r="H334" s="109">
        <f>0</f>
        <v>0</v>
      </c>
    </row>
    <row r="335" spans="1:8" ht="24.75" customHeight="1" x14ac:dyDescent="0.25">
      <c r="A335" s="101"/>
      <c r="B335" s="87"/>
      <c r="C335" s="12" t="s">
        <v>620</v>
      </c>
      <c r="D335" s="12" t="s">
        <v>362</v>
      </c>
      <c r="E335" s="108">
        <f>0</f>
        <v>0</v>
      </c>
      <c r="F335" s="108">
        <f>0</f>
        <v>0</v>
      </c>
      <c r="G335" s="55" t="s">
        <v>164</v>
      </c>
      <c r="H335" s="109">
        <f>0</f>
        <v>0</v>
      </c>
    </row>
    <row r="336" spans="1:8" ht="60" x14ac:dyDescent="0.25">
      <c r="A336" s="101"/>
      <c r="B336" s="87"/>
      <c r="C336" s="12" t="s">
        <v>656</v>
      </c>
      <c r="D336" s="12" t="s">
        <v>363</v>
      </c>
      <c r="E336" s="108">
        <f>0</f>
        <v>0</v>
      </c>
      <c r="F336" s="108">
        <f>0</f>
        <v>0</v>
      </c>
      <c r="G336" s="55" t="s">
        <v>164</v>
      </c>
      <c r="H336" s="109">
        <f>0</f>
        <v>0</v>
      </c>
    </row>
    <row r="337" spans="1:8" ht="60" x14ac:dyDescent="0.25">
      <c r="A337" s="101"/>
      <c r="B337" s="87"/>
      <c r="C337" s="12" t="s">
        <v>622</v>
      </c>
      <c r="D337" s="12" t="s">
        <v>364</v>
      </c>
      <c r="E337" s="108">
        <f>0</f>
        <v>0</v>
      </c>
      <c r="F337" s="108">
        <f>0</f>
        <v>0</v>
      </c>
      <c r="G337" s="55" t="s">
        <v>164</v>
      </c>
      <c r="H337" s="109">
        <f>0</f>
        <v>0</v>
      </c>
    </row>
    <row r="338" spans="1:8" ht="36" x14ac:dyDescent="0.25">
      <c r="A338" s="101"/>
      <c r="B338" s="87"/>
      <c r="C338" s="12" t="s">
        <v>666</v>
      </c>
      <c r="D338" s="12" t="s">
        <v>365</v>
      </c>
      <c r="E338" s="108">
        <f>0</f>
        <v>0</v>
      </c>
      <c r="F338" s="108">
        <f>0</f>
        <v>0</v>
      </c>
      <c r="G338" s="55" t="s">
        <v>164</v>
      </c>
      <c r="H338" s="109">
        <f>0</f>
        <v>0</v>
      </c>
    </row>
    <row r="339" spans="1:8" ht="24" x14ac:dyDescent="0.25">
      <c r="A339" s="101"/>
      <c r="B339" s="87"/>
      <c r="C339" s="12" t="s">
        <v>46</v>
      </c>
      <c r="D339" s="12" t="s">
        <v>366</v>
      </c>
      <c r="E339" s="108">
        <f>E340</f>
        <v>0</v>
      </c>
      <c r="F339" s="108">
        <f>F340</f>
        <v>0</v>
      </c>
      <c r="G339" s="55" t="s">
        <v>164</v>
      </c>
      <c r="H339" s="109">
        <f>H340</f>
        <v>0</v>
      </c>
    </row>
    <row r="340" spans="1:8" ht="36" x14ac:dyDescent="0.25">
      <c r="A340" s="101"/>
      <c r="B340" s="87"/>
      <c r="C340" s="12" t="s">
        <v>627</v>
      </c>
      <c r="D340" s="12" t="s">
        <v>367</v>
      </c>
      <c r="E340" s="108">
        <f>0</f>
        <v>0</v>
      </c>
      <c r="F340" s="108">
        <f>0</f>
        <v>0</v>
      </c>
      <c r="G340" s="55" t="s">
        <v>164</v>
      </c>
      <c r="H340" s="109">
        <f>0</f>
        <v>0</v>
      </c>
    </row>
    <row r="341" spans="1:8" ht="24" x14ac:dyDescent="0.25">
      <c r="A341" s="101"/>
      <c r="B341" s="87"/>
      <c r="C341" s="12" t="s">
        <v>14</v>
      </c>
      <c r="D341" s="12" t="s">
        <v>368</v>
      </c>
      <c r="E341" s="108">
        <f>E342</f>
        <v>0</v>
      </c>
      <c r="F341" s="108">
        <f>F342</f>
        <v>0</v>
      </c>
      <c r="G341" s="55" t="s">
        <v>164</v>
      </c>
      <c r="H341" s="109">
        <f>H342</f>
        <v>0</v>
      </c>
    </row>
    <row r="342" spans="1:8" ht="36" x14ac:dyDescent="0.25">
      <c r="A342" s="101"/>
      <c r="B342" s="87"/>
      <c r="C342" s="12" t="s">
        <v>617</v>
      </c>
      <c r="D342" s="12" t="s">
        <v>369</v>
      </c>
      <c r="E342" s="108">
        <f>0</f>
        <v>0</v>
      </c>
      <c r="F342" s="108">
        <f>0</f>
        <v>0</v>
      </c>
      <c r="G342" s="55" t="s">
        <v>164</v>
      </c>
      <c r="H342" s="109">
        <f>0</f>
        <v>0</v>
      </c>
    </row>
    <row r="343" spans="1:8" ht="24" x14ac:dyDescent="0.25">
      <c r="A343" s="101"/>
      <c r="B343" s="87"/>
      <c r="C343" s="12" t="s">
        <v>39</v>
      </c>
      <c r="D343" s="12" t="s">
        <v>370</v>
      </c>
      <c r="E343" s="108">
        <f>E344+E345</f>
        <v>0</v>
      </c>
      <c r="F343" s="108">
        <f>F344+F345</f>
        <v>0</v>
      </c>
      <c r="G343" s="55" t="s">
        <v>164</v>
      </c>
      <c r="H343" s="109">
        <f>H344+H345</f>
        <v>0</v>
      </c>
    </row>
    <row r="344" spans="1:8" ht="24" x14ac:dyDescent="0.25">
      <c r="A344" s="101"/>
      <c r="B344" s="87"/>
      <c r="C344" s="12" t="s">
        <v>624</v>
      </c>
      <c r="D344" s="12" t="s">
        <v>371</v>
      </c>
      <c r="E344" s="108">
        <f>0</f>
        <v>0</v>
      </c>
      <c r="F344" s="108">
        <f>0</f>
        <v>0</v>
      </c>
      <c r="G344" s="55" t="s">
        <v>164</v>
      </c>
      <c r="H344" s="109">
        <f>0</f>
        <v>0</v>
      </c>
    </row>
    <row r="345" spans="1:8" ht="24" x14ac:dyDescent="0.25">
      <c r="A345" s="102"/>
      <c r="B345" s="88"/>
      <c r="C345" s="12" t="s">
        <v>625</v>
      </c>
      <c r="D345" s="12" t="s">
        <v>372</v>
      </c>
      <c r="E345" s="108">
        <f>0</f>
        <v>0</v>
      </c>
      <c r="F345" s="108">
        <f>0</f>
        <v>0</v>
      </c>
      <c r="G345" s="55" t="s">
        <v>164</v>
      </c>
      <c r="H345" s="109">
        <f>0</f>
        <v>0</v>
      </c>
    </row>
    <row r="346" spans="1:8" ht="20.100000000000001" customHeight="1" thickBot="1" x14ac:dyDescent="0.3">
      <c r="A346" s="103" t="s">
        <v>22</v>
      </c>
      <c r="B346" s="104"/>
      <c r="C346" s="104"/>
      <c r="D346" s="105"/>
      <c r="E346" s="112">
        <f>E293+E314+E324+E332</f>
        <v>98728.22</v>
      </c>
      <c r="F346" s="112">
        <f>F293+F314+F324+F332</f>
        <v>10492.640000000001</v>
      </c>
      <c r="G346" s="67" t="s">
        <v>929</v>
      </c>
      <c r="H346" s="113">
        <f>H293+H314+H324+H332</f>
        <v>10492.640000000001</v>
      </c>
    </row>
    <row r="347" spans="1:8" x14ac:dyDescent="0.25">
      <c r="A347" s="100">
        <v>12</v>
      </c>
      <c r="B347" s="86" t="s">
        <v>373</v>
      </c>
      <c r="C347" s="45" t="s">
        <v>11</v>
      </c>
      <c r="D347" s="45" t="s">
        <v>374</v>
      </c>
      <c r="E347" s="114">
        <f>E348+E352+E354</f>
        <v>42137.09</v>
      </c>
      <c r="F347" s="114">
        <f>F348+F352+F354</f>
        <v>23219.279999999999</v>
      </c>
      <c r="G347" s="72" t="s">
        <v>224</v>
      </c>
      <c r="H347" s="107">
        <f>H348+H352+H354</f>
        <v>23219.279999999999</v>
      </c>
    </row>
    <row r="348" spans="1:8" ht="24" x14ac:dyDescent="0.25">
      <c r="A348" s="101"/>
      <c r="B348" s="87"/>
      <c r="C348" s="12" t="s">
        <v>46</v>
      </c>
      <c r="D348" s="12" t="s">
        <v>375</v>
      </c>
      <c r="E348" s="115">
        <f>E349+E350+E351</f>
        <v>20420.02</v>
      </c>
      <c r="F348" s="115">
        <f>F349+F351+F350</f>
        <v>9999.16</v>
      </c>
      <c r="G348" s="55" t="s">
        <v>783</v>
      </c>
      <c r="H348" s="109">
        <f>H349+H351+H350</f>
        <v>9999.16</v>
      </c>
    </row>
    <row r="349" spans="1:8" ht="36" x14ac:dyDescent="0.25">
      <c r="A349" s="101"/>
      <c r="B349" s="87"/>
      <c r="C349" s="12" t="s">
        <v>627</v>
      </c>
      <c r="D349" s="12" t="s">
        <v>376</v>
      </c>
      <c r="E349" s="115">
        <f>2270.02</f>
        <v>2270.02</v>
      </c>
      <c r="F349" s="115">
        <f>374.89</f>
        <v>374.89</v>
      </c>
      <c r="G349" s="55" t="s">
        <v>476</v>
      </c>
      <c r="H349" s="109">
        <f>374.89</f>
        <v>374.89</v>
      </c>
    </row>
    <row r="350" spans="1:8" ht="24" x14ac:dyDescent="0.25">
      <c r="A350" s="101"/>
      <c r="B350" s="87"/>
      <c r="C350" s="12" t="s">
        <v>659</v>
      </c>
      <c r="D350" s="12" t="s">
        <v>377</v>
      </c>
      <c r="E350" s="115">
        <f>18000</f>
        <v>18000</v>
      </c>
      <c r="F350" s="115">
        <f>9624.27</f>
        <v>9624.27</v>
      </c>
      <c r="G350" s="55" t="s">
        <v>784</v>
      </c>
      <c r="H350" s="109">
        <f>9624.27</f>
        <v>9624.27</v>
      </c>
    </row>
    <row r="351" spans="1:8" ht="48" x14ac:dyDescent="0.25">
      <c r="A351" s="101"/>
      <c r="B351" s="87"/>
      <c r="C351" s="12" t="s">
        <v>660</v>
      </c>
      <c r="D351" s="12" t="s">
        <v>378</v>
      </c>
      <c r="E351" s="115">
        <f>150</f>
        <v>150</v>
      </c>
      <c r="F351" s="115">
        <f>0</f>
        <v>0</v>
      </c>
      <c r="G351" s="55" t="s">
        <v>59</v>
      </c>
      <c r="H351" s="109">
        <f>0</f>
        <v>0</v>
      </c>
    </row>
    <row r="352" spans="1:8" ht="24" x14ac:dyDescent="0.25">
      <c r="A352" s="101"/>
      <c r="B352" s="87"/>
      <c r="C352" s="12" t="s">
        <v>14</v>
      </c>
      <c r="D352" s="12" t="s">
        <v>379</v>
      </c>
      <c r="E352" s="115">
        <f>E353</f>
        <v>2039</v>
      </c>
      <c r="F352" s="115">
        <f>F353</f>
        <v>1568.14</v>
      </c>
      <c r="G352" s="55" t="s">
        <v>785</v>
      </c>
      <c r="H352" s="109">
        <f>H353</f>
        <v>1568.14</v>
      </c>
    </row>
    <row r="353" spans="1:8" ht="24" x14ac:dyDescent="0.25">
      <c r="A353" s="101"/>
      <c r="B353" s="87"/>
      <c r="C353" s="12" t="s">
        <v>617</v>
      </c>
      <c r="D353" s="12" t="s">
        <v>380</v>
      </c>
      <c r="E353" s="115">
        <f>2039</f>
        <v>2039</v>
      </c>
      <c r="F353" s="115">
        <f>1568.14</f>
        <v>1568.14</v>
      </c>
      <c r="G353" s="55" t="s">
        <v>785</v>
      </c>
      <c r="H353" s="109">
        <f>1568.14</f>
        <v>1568.14</v>
      </c>
    </row>
    <row r="354" spans="1:8" ht="24" x14ac:dyDescent="0.25">
      <c r="A354" s="101"/>
      <c r="B354" s="87"/>
      <c r="C354" s="12" t="s">
        <v>278</v>
      </c>
      <c r="D354" s="12" t="s">
        <v>51</v>
      </c>
      <c r="E354" s="115">
        <f>E355</f>
        <v>19678.07</v>
      </c>
      <c r="F354" s="115">
        <f>F355</f>
        <v>11651.98</v>
      </c>
      <c r="G354" s="55" t="s">
        <v>786</v>
      </c>
      <c r="H354" s="109">
        <f>H355</f>
        <v>11651.98</v>
      </c>
    </row>
    <row r="355" spans="1:8" ht="24" x14ac:dyDescent="0.25">
      <c r="A355" s="101"/>
      <c r="B355" s="87"/>
      <c r="C355" s="12" t="s">
        <v>752</v>
      </c>
      <c r="D355" s="12" t="s">
        <v>381</v>
      </c>
      <c r="E355" s="115">
        <f>19678.07</f>
        <v>19678.07</v>
      </c>
      <c r="F355" s="115">
        <f>11651.98</f>
        <v>11651.98</v>
      </c>
      <c r="G355" s="55" t="s">
        <v>786</v>
      </c>
      <c r="H355" s="109">
        <f>11651.98</f>
        <v>11651.98</v>
      </c>
    </row>
    <row r="356" spans="1:8" ht="24" x14ac:dyDescent="0.25">
      <c r="A356" s="101"/>
      <c r="B356" s="87"/>
      <c r="C356" s="13" t="s">
        <v>30</v>
      </c>
      <c r="D356" s="13" t="s">
        <v>382</v>
      </c>
      <c r="E356" s="116">
        <f>E357</f>
        <v>650</v>
      </c>
      <c r="F356" s="116">
        <f>F357</f>
        <v>148.69999999999999</v>
      </c>
      <c r="G356" s="60" t="s">
        <v>383</v>
      </c>
      <c r="H356" s="111">
        <f>H357</f>
        <v>148.69999999999999</v>
      </c>
    </row>
    <row r="357" spans="1:8" ht="24" x14ac:dyDescent="0.25">
      <c r="A357" s="101"/>
      <c r="B357" s="87"/>
      <c r="C357" s="12" t="s">
        <v>26</v>
      </c>
      <c r="D357" s="12" t="s">
        <v>384</v>
      </c>
      <c r="E357" s="115">
        <f>E358</f>
        <v>650</v>
      </c>
      <c r="F357" s="115">
        <f>F358</f>
        <v>148.69999999999999</v>
      </c>
      <c r="G357" s="55" t="s">
        <v>383</v>
      </c>
      <c r="H357" s="109">
        <f>H358</f>
        <v>148.69999999999999</v>
      </c>
    </row>
    <row r="358" spans="1:8" ht="36" x14ac:dyDescent="0.25">
      <c r="A358" s="101"/>
      <c r="B358" s="87"/>
      <c r="C358" s="12" t="s">
        <v>620</v>
      </c>
      <c r="D358" s="12" t="s">
        <v>385</v>
      </c>
      <c r="E358" s="115">
        <f>650</f>
        <v>650</v>
      </c>
      <c r="F358" s="115">
        <f>148.7</f>
        <v>148.69999999999999</v>
      </c>
      <c r="G358" s="55" t="s">
        <v>383</v>
      </c>
      <c r="H358" s="109">
        <f>148.7</f>
        <v>148.69999999999999</v>
      </c>
    </row>
    <row r="359" spans="1:8" x14ac:dyDescent="0.25">
      <c r="A359" s="101"/>
      <c r="B359" s="87"/>
      <c r="C359" s="13" t="s">
        <v>37</v>
      </c>
      <c r="D359" s="13" t="s">
        <v>386</v>
      </c>
      <c r="E359" s="116">
        <f>E360+E365+E367+E370</f>
        <v>2700</v>
      </c>
      <c r="F359" s="116">
        <f>F360+F365+F367+F370</f>
        <v>0</v>
      </c>
      <c r="G359" s="60" t="s">
        <v>787</v>
      </c>
      <c r="H359" s="111">
        <f>H360+H365+H367+H370</f>
        <v>0</v>
      </c>
    </row>
    <row r="360" spans="1:8" ht="24" x14ac:dyDescent="0.25">
      <c r="A360" s="101"/>
      <c r="B360" s="87"/>
      <c r="C360" s="12" t="s">
        <v>26</v>
      </c>
      <c r="D360" s="12" t="s">
        <v>387</v>
      </c>
      <c r="E360" s="115">
        <f>E361+E362+E363+E364</f>
        <v>0</v>
      </c>
      <c r="F360" s="115">
        <f>F361+F362+F363+F364</f>
        <v>0</v>
      </c>
      <c r="G360" s="55" t="s">
        <v>13</v>
      </c>
      <c r="H360" s="109">
        <f>H361+H362+H363+H364</f>
        <v>0</v>
      </c>
    </row>
    <row r="361" spans="1:8" ht="24" x14ac:dyDescent="0.25">
      <c r="A361" s="101"/>
      <c r="B361" s="87"/>
      <c r="C361" s="12" t="s">
        <v>619</v>
      </c>
      <c r="D361" s="12" t="s">
        <v>388</v>
      </c>
      <c r="E361" s="115">
        <f>0</f>
        <v>0</v>
      </c>
      <c r="F361" s="115">
        <v>0</v>
      </c>
      <c r="G361" s="55" t="s">
        <v>13</v>
      </c>
      <c r="H361" s="109">
        <v>0</v>
      </c>
    </row>
    <row r="362" spans="1:8" ht="24" x14ac:dyDescent="0.25">
      <c r="A362" s="101"/>
      <c r="B362" s="87"/>
      <c r="C362" s="12" t="s">
        <v>620</v>
      </c>
      <c r="D362" s="12" t="s">
        <v>389</v>
      </c>
      <c r="E362" s="115">
        <f>0</f>
        <v>0</v>
      </c>
      <c r="F362" s="115">
        <v>0</v>
      </c>
      <c r="G362" s="55" t="s">
        <v>13</v>
      </c>
      <c r="H362" s="109">
        <v>0</v>
      </c>
    </row>
    <row r="363" spans="1:8" ht="48" x14ac:dyDescent="0.25">
      <c r="A363" s="101"/>
      <c r="B363" s="87"/>
      <c r="C363" s="12" t="s">
        <v>656</v>
      </c>
      <c r="D363" s="12" t="s">
        <v>390</v>
      </c>
      <c r="E363" s="115">
        <f>0</f>
        <v>0</v>
      </c>
      <c r="F363" s="115">
        <v>0</v>
      </c>
      <c r="G363" s="55" t="s">
        <v>13</v>
      </c>
      <c r="H363" s="109">
        <v>0</v>
      </c>
    </row>
    <row r="364" spans="1:8" ht="36" x14ac:dyDescent="0.25">
      <c r="A364" s="101"/>
      <c r="B364" s="87"/>
      <c r="C364" s="12" t="s">
        <v>621</v>
      </c>
      <c r="D364" s="12" t="s">
        <v>391</v>
      </c>
      <c r="E364" s="115">
        <f>0</f>
        <v>0</v>
      </c>
      <c r="F364" s="115">
        <v>0</v>
      </c>
      <c r="G364" s="55" t="s">
        <v>13</v>
      </c>
      <c r="H364" s="109">
        <v>0</v>
      </c>
    </row>
    <row r="365" spans="1:8" ht="48" x14ac:dyDescent="0.25">
      <c r="A365" s="101"/>
      <c r="B365" s="87"/>
      <c r="C365" s="12" t="s">
        <v>39</v>
      </c>
      <c r="D365" s="12" t="s">
        <v>392</v>
      </c>
      <c r="E365" s="115">
        <f>0</f>
        <v>0</v>
      </c>
      <c r="F365" s="115">
        <v>0</v>
      </c>
      <c r="G365" s="55" t="s">
        <v>13</v>
      </c>
      <c r="H365" s="109">
        <v>0</v>
      </c>
    </row>
    <row r="366" spans="1:8" ht="24" x14ac:dyDescent="0.25">
      <c r="A366" s="101"/>
      <c r="B366" s="87"/>
      <c r="C366" s="12" t="s">
        <v>624</v>
      </c>
      <c r="D366" s="12" t="s">
        <v>393</v>
      </c>
      <c r="E366" s="115">
        <f>0</f>
        <v>0</v>
      </c>
      <c r="F366" s="115">
        <v>0</v>
      </c>
      <c r="G366" s="55" t="s">
        <v>13</v>
      </c>
      <c r="H366" s="109">
        <v>0</v>
      </c>
    </row>
    <row r="367" spans="1:8" x14ac:dyDescent="0.25">
      <c r="A367" s="101"/>
      <c r="B367" s="87"/>
      <c r="C367" s="12" t="s">
        <v>118</v>
      </c>
      <c r="D367" s="12" t="s">
        <v>394</v>
      </c>
      <c r="E367" s="115">
        <f>E368+E369</f>
        <v>2700</v>
      </c>
      <c r="F367" s="115">
        <f>F368+F369</f>
        <v>0</v>
      </c>
      <c r="G367" s="55" t="s">
        <v>787</v>
      </c>
      <c r="H367" s="109">
        <f>H368+H369</f>
        <v>0</v>
      </c>
    </row>
    <row r="368" spans="1:8" ht="24" x14ac:dyDescent="0.25">
      <c r="A368" s="101"/>
      <c r="B368" s="87"/>
      <c r="C368" s="12" t="s">
        <v>746</v>
      </c>
      <c r="D368" s="12" t="s">
        <v>395</v>
      </c>
      <c r="E368" s="115">
        <f>0</f>
        <v>0</v>
      </c>
      <c r="F368" s="115">
        <f>0</f>
        <v>0</v>
      </c>
      <c r="G368" s="55" t="s">
        <v>13</v>
      </c>
      <c r="H368" s="109">
        <f>0</f>
        <v>0</v>
      </c>
    </row>
    <row r="369" spans="1:8" x14ac:dyDescent="0.25">
      <c r="A369" s="101"/>
      <c r="B369" s="87"/>
      <c r="C369" s="12" t="s">
        <v>793</v>
      </c>
      <c r="D369" s="12" t="s">
        <v>396</v>
      </c>
      <c r="E369" s="115">
        <f>2700</f>
        <v>2700</v>
      </c>
      <c r="F369" s="115">
        <f>0</f>
        <v>0</v>
      </c>
      <c r="G369" s="55" t="s">
        <v>787</v>
      </c>
      <c r="H369" s="109">
        <f>0</f>
        <v>0</v>
      </c>
    </row>
    <row r="370" spans="1:8" ht="24" x14ac:dyDescent="0.25">
      <c r="A370" s="101"/>
      <c r="B370" s="87"/>
      <c r="C370" s="12" t="s">
        <v>278</v>
      </c>
      <c r="D370" s="12" t="s">
        <v>397</v>
      </c>
      <c r="E370" s="115">
        <f>E371+E372</f>
        <v>0</v>
      </c>
      <c r="F370" s="115">
        <f>F371+F372</f>
        <v>0</v>
      </c>
      <c r="G370" s="55" t="s">
        <v>13</v>
      </c>
      <c r="H370" s="109">
        <f>H371+H372</f>
        <v>0</v>
      </c>
    </row>
    <row r="371" spans="1:8" ht="24" x14ac:dyDescent="0.25">
      <c r="A371" s="101"/>
      <c r="B371" s="87"/>
      <c r="C371" s="12" t="s">
        <v>752</v>
      </c>
      <c r="D371" s="12" t="s">
        <v>398</v>
      </c>
      <c r="E371" s="115">
        <f>0</f>
        <v>0</v>
      </c>
      <c r="F371" s="115">
        <f>0</f>
        <v>0</v>
      </c>
      <c r="G371" s="55" t="s">
        <v>13</v>
      </c>
      <c r="H371" s="109">
        <f>0</f>
        <v>0</v>
      </c>
    </row>
    <row r="372" spans="1:8" ht="24" x14ac:dyDescent="0.25">
      <c r="A372" s="101"/>
      <c r="B372" s="87"/>
      <c r="C372" s="12" t="s">
        <v>930</v>
      </c>
      <c r="D372" s="12" t="s">
        <v>399</v>
      </c>
      <c r="E372" s="115">
        <f>0</f>
        <v>0</v>
      </c>
      <c r="F372" s="115">
        <f>0</f>
        <v>0</v>
      </c>
      <c r="G372" s="55" t="s">
        <v>13</v>
      </c>
      <c r="H372" s="109">
        <f>0</f>
        <v>0</v>
      </c>
    </row>
    <row r="373" spans="1:8" x14ac:dyDescent="0.25">
      <c r="A373" s="101"/>
      <c r="B373" s="87"/>
      <c r="C373" s="13" t="s">
        <v>17</v>
      </c>
      <c r="D373" s="13" t="s">
        <v>50</v>
      </c>
      <c r="E373" s="116">
        <f>E374</f>
        <v>371742.02</v>
      </c>
      <c r="F373" s="116">
        <f>F374</f>
        <v>222372.15000000002</v>
      </c>
      <c r="G373" s="60" t="s">
        <v>788</v>
      </c>
      <c r="H373" s="111">
        <f>H374</f>
        <v>222372.15000000002</v>
      </c>
    </row>
    <row r="374" spans="1:8" ht="24" x14ac:dyDescent="0.25">
      <c r="A374" s="101"/>
      <c r="B374" s="87"/>
      <c r="C374" s="12" t="s">
        <v>26</v>
      </c>
      <c r="D374" s="12" t="s">
        <v>51</v>
      </c>
      <c r="E374" s="115">
        <f>E375+E376+E377+E378+E379</f>
        <v>371742.02</v>
      </c>
      <c r="F374" s="115">
        <f>F375+F376+F377+F378+F379</f>
        <v>222372.15000000002</v>
      </c>
      <c r="G374" s="55" t="s">
        <v>788</v>
      </c>
      <c r="H374" s="109">
        <f>H375+H376+H377+H378+H379</f>
        <v>222372.15000000002</v>
      </c>
    </row>
    <row r="375" spans="1:8" ht="24" x14ac:dyDescent="0.25">
      <c r="A375" s="101"/>
      <c r="B375" s="87"/>
      <c r="C375" s="12" t="s">
        <v>619</v>
      </c>
      <c r="D375" s="12" t="s">
        <v>404</v>
      </c>
      <c r="E375" s="115">
        <v>9199.66</v>
      </c>
      <c r="F375" s="115">
        <v>9050.65</v>
      </c>
      <c r="G375" s="55" t="s">
        <v>405</v>
      </c>
      <c r="H375" s="109">
        <v>9050.65</v>
      </c>
    </row>
    <row r="376" spans="1:8" x14ac:dyDescent="0.25">
      <c r="A376" s="101"/>
      <c r="B376" s="87"/>
      <c r="C376" s="12" t="s">
        <v>620</v>
      </c>
      <c r="D376" s="12" t="s">
        <v>400</v>
      </c>
      <c r="E376" s="115">
        <v>196471.88</v>
      </c>
      <c r="F376" s="115">
        <v>108544.32000000001</v>
      </c>
      <c r="G376" s="55" t="s">
        <v>789</v>
      </c>
      <c r="H376" s="109">
        <v>108544.32000000001</v>
      </c>
    </row>
    <row r="377" spans="1:8" x14ac:dyDescent="0.25">
      <c r="A377" s="101"/>
      <c r="B377" s="87"/>
      <c r="C377" s="12" t="s">
        <v>622</v>
      </c>
      <c r="D377" s="12" t="s">
        <v>401</v>
      </c>
      <c r="E377" s="115">
        <v>24367.79</v>
      </c>
      <c r="F377" s="115">
        <v>14766.57</v>
      </c>
      <c r="G377" s="55" t="s">
        <v>790</v>
      </c>
      <c r="H377" s="109">
        <v>14766.57</v>
      </c>
    </row>
    <row r="378" spans="1:8" ht="36" x14ac:dyDescent="0.25">
      <c r="A378" s="101"/>
      <c r="B378" s="87"/>
      <c r="C378" s="12" t="s">
        <v>666</v>
      </c>
      <c r="D378" s="12" t="s">
        <v>402</v>
      </c>
      <c r="E378" s="115">
        <v>69451.34</v>
      </c>
      <c r="F378" s="115">
        <v>47150</v>
      </c>
      <c r="G378" s="55" t="s">
        <v>791</v>
      </c>
      <c r="H378" s="109">
        <v>47150</v>
      </c>
    </row>
    <row r="379" spans="1:8" ht="36" x14ac:dyDescent="0.25">
      <c r="A379" s="102"/>
      <c r="B379" s="88"/>
      <c r="C379" s="12" t="s">
        <v>623</v>
      </c>
      <c r="D379" s="12" t="s">
        <v>403</v>
      </c>
      <c r="E379" s="115">
        <v>72251.350000000006</v>
      </c>
      <c r="F379" s="115">
        <v>42860.61</v>
      </c>
      <c r="G379" s="55" t="s">
        <v>655</v>
      </c>
      <c r="H379" s="109">
        <v>42860.61</v>
      </c>
    </row>
    <row r="380" spans="1:8" ht="20.100000000000001" customHeight="1" thickBot="1" x14ac:dyDescent="0.3">
      <c r="A380" s="103" t="s">
        <v>22</v>
      </c>
      <c r="B380" s="104"/>
      <c r="C380" s="104"/>
      <c r="D380" s="105"/>
      <c r="E380" s="117">
        <f>E347+E356+E359+E373</f>
        <v>417229.11</v>
      </c>
      <c r="F380" s="117">
        <f>F347+F356+F359+F373</f>
        <v>245740.13000000003</v>
      </c>
      <c r="G380" s="67" t="s">
        <v>792</v>
      </c>
      <c r="H380" s="113">
        <f>H347+H356+H359+H373</f>
        <v>245740.13000000003</v>
      </c>
    </row>
    <row r="381" spans="1:8" ht="36" x14ac:dyDescent="0.25">
      <c r="A381" s="69">
        <v>13</v>
      </c>
      <c r="B381" s="94" t="s">
        <v>407</v>
      </c>
      <c r="C381" s="45" t="s">
        <v>11</v>
      </c>
      <c r="D381" s="45" t="s">
        <v>408</v>
      </c>
      <c r="E381" s="114">
        <f>E382+E390+E391</f>
        <v>29435.83</v>
      </c>
      <c r="F381" s="114">
        <f>F382+F390+F391</f>
        <v>17777.34</v>
      </c>
      <c r="G381" s="72" t="s">
        <v>917</v>
      </c>
      <c r="H381" s="107">
        <f>H382+H390+H391</f>
        <v>17777.34</v>
      </c>
    </row>
    <row r="382" spans="1:8" ht="24" x14ac:dyDescent="0.25">
      <c r="A382" s="74"/>
      <c r="B382" s="96"/>
      <c r="C382" s="12" t="s">
        <v>26</v>
      </c>
      <c r="D382" s="12" t="s">
        <v>409</v>
      </c>
      <c r="E382" s="115">
        <f>SUM(E383:E389)</f>
        <v>27872.820000000003</v>
      </c>
      <c r="F382" s="115">
        <f>SUM(F383:F389)</f>
        <v>16833.98</v>
      </c>
      <c r="G382" s="55" t="s">
        <v>917</v>
      </c>
      <c r="H382" s="109">
        <f>SUM(H383:H389)</f>
        <v>16833.98</v>
      </c>
    </row>
    <row r="383" spans="1:8" ht="36" x14ac:dyDescent="0.25">
      <c r="A383" s="74"/>
      <c r="B383" s="96"/>
      <c r="C383" s="12" t="s">
        <v>619</v>
      </c>
      <c r="D383" s="12" t="s">
        <v>410</v>
      </c>
      <c r="E383" s="115">
        <f>4581.43</f>
        <v>4581.43</v>
      </c>
      <c r="F383" s="115">
        <f>4131.01</f>
        <v>4131.01</v>
      </c>
      <c r="G383" s="55" t="s">
        <v>918</v>
      </c>
      <c r="H383" s="109">
        <f>4131.01</f>
        <v>4131.01</v>
      </c>
    </row>
    <row r="384" spans="1:8" ht="48" x14ac:dyDescent="0.25">
      <c r="A384" s="74"/>
      <c r="B384" s="96"/>
      <c r="C384" s="12" t="s">
        <v>620</v>
      </c>
      <c r="D384" s="12" t="s">
        <v>411</v>
      </c>
      <c r="E384" s="115">
        <f>0</f>
        <v>0</v>
      </c>
      <c r="F384" s="115">
        <f>0</f>
        <v>0</v>
      </c>
      <c r="G384" s="55" t="s">
        <v>13</v>
      </c>
      <c r="H384" s="109">
        <f>0</f>
        <v>0</v>
      </c>
    </row>
    <row r="385" spans="1:8" ht="48" x14ac:dyDescent="0.25">
      <c r="A385" s="74"/>
      <c r="B385" s="96"/>
      <c r="C385" s="12" t="s">
        <v>656</v>
      </c>
      <c r="D385" s="12" t="s">
        <v>412</v>
      </c>
      <c r="E385" s="115">
        <f>21020</f>
        <v>21020</v>
      </c>
      <c r="F385" s="115">
        <f>10999.84</f>
        <v>10999.84</v>
      </c>
      <c r="G385" s="55" t="s">
        <v>713</v>
      </c>
      <c r="H385" s="109">
        <f>10999.84</f>
        <v>10999.84</v>
      </c>
    </row>
    <row r="386" spans="1:8" ht="72" x14ac:dyDescent="0.25">
      <c r="A386" s="74"/>
      <c r="B386" s="96"/>
      <c r="C386" s="12" t="s">
        <v>621</v>
      </c>
      <c r="D386" s="12" t="s">
        <v>413</v>
      </c>
      <c r="E386" s="115">
        <f>40.99</f>
        <v>40.99</v>
      </c>
      <c r="F386" s="115">
        <f>30.33</f>
        <v>30.33</v>
      </c>
      <c r="G386" s="55" t="s">
        <v>742</v>
      </c>
      <c r="H386" s="109">
        <f>30.33</f>
        <v>30.33</v>
      </c>
    </row>
    <row r="387" spans="1:8" ht="84" x14ac:dyDescent="0.25">
      <c r="A387" s="74"/>
      <c r="B387" s="96"/>
      <c r="C387" s="12" t="s">
        <v>622</v>
      </c>
      <c r="D387" s="12" t="s">
        <v>415</v>
      </c>
      <c r="E387" s="115">
        <v>1481.52</v>
      </c>
      <c r="F387" s="115">
        <f>1111.14</f>
        <v>1111.1400000000001</v>
      </c>
      <c r="G387" s="55" t="s">
        <v>633</v>
      </c>
      <c r="H387" s="109">
        <f>1111.14</f>
        <v>1111.1400000000001</v>
      </c>
    </row>
    <row r="388" spans="1:8" ht="36" x14ac:dyDescent="0.25">
      <c r="A388" s="74"/>
      <c r="B388" s="96"/>
      <c r="C388" s="12" t="s">
        <v>666</v>
      </c>
      <c r="D388" s="12" t="s">
        <v>416</v>
      </c>
      <c r="E388" s="115">
        <f>748.88</f>
        <v>748.88</v>
      </c>
      <c r="F388" s="115">
        <f>561.66</f>
        <v>561.66</v>
      </c>
      <c r="G388" s="55" t="s">
        <v>633</v>
      </c>
      <c r="H388" s="109">
        <f>561.66</f>
        <v>561.66</v>
      </c>
    </row>
    <row r="389" spans="1:8" ht="24" x14ac:dyDescent="0.25">
      <c r="A389" s="74"/>
      <c r="B389" s="96"/>
      <c r="C389" s="12" t="s">
        <v>623</v>
      </c>
      <c r="D389" s="12" t="s">
        <v>417</v>
      </c>
      <c r="E389" s="115">
        <f>0</f>
        <v>0</v>
      </c>
      <c r="F389" s="115">
        <f>0</f>
        <v>0</v>
      </c>
      <c r="G389" s="55" t="s">
        <v>13</v>
      </c>
      <c r="H389" s="109">
        <f>0</f>
        <v>0</v>
      </c>
    </row>
    <row r="390" spans="1:8" ht="60" x14ac:dyDescent="0.25">
      <c r="A390" s="74"/>
      <c r="B390" s="96"/>
      <c r="C390" s="12" t="s">
        <v>46</v>
      </c>
      <c r="D390" s="12" t="s">
        <v>418</v>
      </c>
      <c r="E390" s="115">
        <f>0</f>
        <v>0</v>
      </c>
      <c r="F390" s="115">
        <f>0</f>
        <v>0</v>
      </c>
      <c r="G390" s="55" t="s">
        <v>13</v>
      </c>
      <c r="H390" s="109">
        <f>0</f>
        <v>0</v>
      </c>
    </row>
    <row r="391" spans="1:8" ht="24" x14ac:dyDescent="0.25">
      <c r="A391" s="74"/>
      <c r="B391" s="96"/>
      <c r="C391" s="12" t="s">
        <v>278</v>
      </c>
      <c r="D391" s="12" t="s">
        <v>419</v>
      </c>
      <c r="E391" s="115">
        <f>E392+E393+E394+E395</f>
        <v>1563.0100000000002</v>
      </c>
      <c r="F391" s="115">
        <f>F392+F393+F394+F395</f>
        <v>943.36</v>
      </c>
      <c r="G391" s="55" t="s">
        <v>917</v>
      </c>
      <c r="H391" s="109">
        <f>H392+H393+H394+H395</f>
        <v>943.36</v>
      </c>
    </row>
    <row r="392" spans="1:8" ht="48" x14ac:dyDescent="0.25">
      <c r="A392" s="74"/>
      <c r="B392" s="96"/>
      <c r="C392" s="12" t="s">
        <v>752</v>
      </c>
      <c r="D392" s="12" t="s">
        <v>420</v>
      </c>
      <c r="E392" s="115">
        <f>199.84</f>
        <v>199.84</v>
      </c>
      <c r="F392" s="115">
        <f>154.78</f>
        <v>154.78</v>
      </c>
      <c r="G392" s="55" t="s">
        <v>919</v>
      </c>
      <c r="H392" s="109">
        <f>154.78</f>
        <v>154.78</v>
      </c>
    </row>
    <row r="393" spans="1:8" ht="84" x14ac:dyDescent="0.25">
      <c r="A393" s="74"/>
      <c r="B393" s="96"/>
      <c r="C393" s="12" t="s">
        <v>930</v>
      </c>
      <c r="D393" s="12" t="s">
        <v>421</v>
      </c>
      <c r="E393" s="115">
        <f>620.19</f>
        <v>620.19000000000005</v>
      </c>
      <c r="F393" s="115">
        <f>432.33</f>
        <v>432.33</v>
      </c>
      <c r="G393" s="55" t="s">
        <v>920</v>
      </c>
      <c r="H393" s="109">
        <f>432.33</f>
        <v>432.33</v>
      </c>
    </row>
    <row r="394" spans="1:8" ht="48" x14ac:dyDescent="0.25">
      <c r="A394" s="74"/>
      <c r="B394" s="96"/>
      <c r="C394" s="12" t="s">
        <v>777</v>
      </c>
      <c r="D394" s="12" t="s">
        <v>422</v>
      </c>
      <c r="E394" s="115">
        <f>742.98</f>
        <v>742.98</v>
      </c>
      <c r="F394" s="115">
        <f>356.25</f>
        <v>356.25</v>
      </c>
      <c r="G394" s="55" t="s">
        <v>921</v>
      </c>
      <c r="H394" s="109">
        <f>356.25</f>
        <v>356.25</v>
      </c>
    </row>
    <row r="395" spans="1:8" ht="36" x14ac:dyDescent="0.25">
      <c r="A395" s="74"/>
      <c r="B395" s="96"/>
      <c r="C395" s="12" t="s">
        <v>778</v>
      </c>
      <c r="D395" s="12" t="s">
        <v>423</v>
      </c>
      <c r="E395" s="115">
        <f>0</f>
        <v>0</v>
      </c>
      <c r="F395" s="115">
        <f>0</f>
        <v>0</v>
      </c>
      <c r="G395" s="55" t="s">
        <v>13</v>
      </c>
      <c r="H395" s="109">
        <f>0</f>
        <v>0</v>
      </c>
    </row>
    <row r="396" spans="1:8" ht="24" x14ac:dyDescent="0.25">
      <c r="A396" s="74"/>
      <c r="B396" s="96"/>
      <c r="C396" s="13" t="s">
        <v>30</v>
      </c>
      <c r="D396" s="13" t="s">
        <v>424</v>
      </c>
      <c r="E396" s="116">
        <f>E397</f>
        <v>6338</v>
      </c>
      <c r="F396" s="116">
        <f>F397</f>
        <v>0</v>
      </c>
      <c r="G396" s="60" t="s">
        <v>922</v>
      </c>
      <c r="H396" s="111">
        <f>H397</f>
        <v>0</v>
      </c>
    </row>
    <row r="397" spans="1:8" ht="24" x14ac:dyDescent="0.25">
      <c r="A397" s="74"/>
      <c r="B397" s="96"/>
      <c r="C397" s="12" t="s">
        <v>278</v>
      </c>
      <c r="D397" s="12" t="s">
        <v>425</v>
      </c>
      <c r="E397" s="115">
        <f>E398</f>
        <v>6338</v>
      </c>
      <c r="F397" s="115">
        <f>F398</f>
        <v>0</v>
      </c>
      <c r="G397" s="55" t="s">
        <v>59</v>
      </c>
      <c r="H397" s="109">
        <f>H398</f>
        <v>0</v>
      </c>
    </row>
    <row r="398" spans="1:8" ht="24" x14ac:dyDescent="0.25">
      <c r="A398" s="74"/>
      <c r="B398" s="96"/>
      <c r="C398" s="12" t="s">
        <v>752</v>
      </c>
      <c r="D398" s="12" t="s">
        <v>426</v>
      </c>
      <c r="E398" s="115">
        <f>1274+64+5000</f>
        <v>6338</v>
      </c>
      <c r="F398" s="115">
        <f>0</f>
        <v>0</v>
      </c>
      <c r="G398" s="55" t="s">
        <v>922</v>
      </c>
      <c r="H398" s="109">
        <f>0</f>
        <v>0</v>
      </c>
    </row>
    <row r="399" spans="1:8" ht="36" x14ac:dyDescent="0.25">
      <c r="A399" s="74"/>
      <c r="B399" s="96"/>
      <c r="C399" s="13" t="s">
        <v>37</v>
      </c>
      <c r="D399" s="13" t="s">
        <v>427</v>
      </c>
      <c r="E399" s="116">
        <f>E400+E406</f>
        <v>16508.12</v>
      </c>
      <c r="F399" s="116">
        <f>F400+F406</f>
        <v>10318.029999999999</v>
      </c>
      <c r="G399" s="60" t="s">
        <v>923</v>
      </c>
      <c r="H399" s="111">
        <f>H400+H406</f>
        <v>10318.029999999999</v>
      </c>
    </row>
    <row r="400" spans="1:8" ht="48" x14ac:dyDescent="0.25">
      <c r="A400" s="74"/>
      <c r="B400" s="96"/>
      <c r="C400" s="12" t="s">
        <v>26</v>
      </c>
      <c r="D400" s="12" t="s">
        <v>428</v>
      </c>
      <c r="E400" s="115">
        <f>E401+E402+E403+E404+E405</f>
        <v>16508.12</v>
      </c>
      <c r="F400" s="115">
        <f>F401+F402+F403+F404+F405</f>
        <v>10318.029999999999</v>
      </c>
      <c r="G400" s="55" t="s">
        <v>924</v>
      </c>
      <c r="H400" s="109">
        <f>H401+H402+H403+H404+H405</f>
        <v>10318.029999999999</v>
      </c>
    </row>
    <row r="401" spans="1:8" ht="24" x14ac:dyDescent="0.25">
      <c r="A401" s="74"/>
      <c r="B401" s="96"/>
      <c r="C401" s="12" t="s">
        <v>619</v>
      </c>
      <c r="D401" s="12" t="s">
        <v>429</v>
      </c>
      <c r="E401" s="115">
        <f>878.1</f>
        <v>878.1</v>
      </c>
      <c r="F401" s="115">
        <f>640.05</f>
        <v>640.04999999999995</v>
      </c>
      <c r="G401" s="55" t="s">
        <v>925</v>
      </c>
      <c r="H401" s="109">
        <f>640.05</f>
        <v>640.04999999999995</v>
      </c>
    </row>
    <row r="402" spans="1:8" ht="36" x14ac:dyDescent="0.25">
      <c r="A402" s="74"/>
      <c r="B402" s="96"/>
      <c r="C402" s="12" t="s">
        <v>620</v>
      </c>
      <c r="D402" s="12" t="s">
        <v>430</v>
      </c>
      <c r="E402" s="115">
        <f>30</f>
        <v>30</v>
      </c>
      <c r="F402" s="115">
        <f>0</f>
        <v>0</v>
      </c>
      <c r="G402" s="55" t="s">
        <v>922</v>
      </c>
      <c r="H402" s="109">
        <f>0</f>
        <v>0</v>
      </c>
    </row>
    <row r="403" spans="1:8" ht="24" x14ac:dyDescent="0.25">
      <c r="A403" s="74"/>
      <c r="B403" s="96"/>
      <c r="C403" s="12" t="s">
        <v>656</v>
      </c>
      <c r="D403" s="12" t="s">
        <v>431</v>
      </c>
      <c r="E403" s="115">
        <f>44</f>
        <v>44</v>
      </c>
      <c r="F403" s="115">
        <f>44</f>
        <v>44</v>
      </c>
      <c r="G403" s="55" t="s">
        <v>719</v>
      </c>
      <c r="H403" s="109">
        <f>44</f>
        <v>44</v>
      </c>
    </row>
    <row r="404" spans="1:8" ht="36" x14ac:dyDescent="0.25">
      <c r="A404" s="74"/>
      <c r="B404" s="96"/>
      <c r="C404" s="12" t="s">
        <v>621</v>
      </c>
      <c r="D404" s="12" t="s">
        <v>432</v>
      </c>
      <c r="E404" s="115">
        <f>0</f>
        <v>0</v>
      </c>
      <c r="F404" s="115">
        <f>0</f>
        <v>0</v>
      </c>
      <c r="G404" s="55" t="s">
        <v>13</v>
      </c>
      <c r="H404" s="109">
        <f>0</f>
        <v>0</v>
      </c>
    </row>
    <row r="405" spans="1:8" ht="24" x14ac:dyDescent="0.25">
      <c r="A405" s="74"/>
      <c r="B405" s="96"/>
      <c r="C405" s="12" t="s">
        <v>622</v>
      </c>
      <c r="D405" s="12" t="s">
        <v>433</v>
      </c>
      <c r="E405" s="115">
        <f>14626.02+930</f>
        <v>15556.02</v>
      </c>
      <c r="F405" s="115">
        <f>9633.98</f>
        <v>9633.98</v>
      </c>
      <c r="G405" s="55" t="s">
        <v>828</v>
      </c>
      <c r="H405" s="109">
        <f>9633.98</f>
        <v>9633.98</v>
      </c>
    </row>
    <row r="406" spans="1:8" ht="24" x14ac:dyDescent="0.25">
      <c r="A406" s="74"/>
      <c r="B406" s="96"/>
      <c r="C406" s="12" t="s">
        <v>926</v>
      </c>
      <c r="D406" s="12" t="s">
        <v>435</v>
      </c>
      <c r="E406" s="115">
        <f>0</f>
        <v>0</v>
      </c>
      <c r="F406" s="115">
        <f>0</f>
        <v>0</v>
      </c>
      <c r="G406" s="55" t="s">
        <v>13</v>
      </c>
      <c r="H406" s="109">
        <f>0</f>
        <v>0</v>
      </c>
    </row>
    <row r="407" spans="1:8" x14ac:dyDescent="0.25">
      <c r="A407" s="74"/>
      <c r="B407" s="96"/>
      <c r="C407" s="13" t="s">
        <v>17</v>
      </c>
      <c r="D407" s="13" t="s">
        <v>50</v>
      </c>
      <c r="E407" s="116">
        <f>E408+E410+E412</f>
        <v>8543</v>
      </c>
      <c r="F407" s="116">
        <f>F408+F410+F412</f>
        <v>4455.8</v>
      </c>
      <c r="G407" s="60" t="s">
        <v>927</v>
      </c>
      <c r="H407" s="111">
        <f>H408+H410+H412</f>
        <v>4455.8</v>
      </c>
    </row>
    <row r="408" spans="1:8" ht="24" x14ac:dyDescent="0.25">
      <c r="A408" s="74"/>
      <c r="B408" s="96"/>
      <c r="C408" s="12" t="s">
        <v>14</v>
      </c>
      <c r="D408" s="12" t="s">
        <v>436</v>
      </c>
      <c r="E408" s="115">
        <f>E409</f>
        <v>6822</v>
      </c>
      <c r="F408" s="115">
        <f>F409</f>
        <v>4455.8</v>
      </c>
      <c r="G408" s="55" t="s">
        <v>928</v>
      </c>
      <c r="H408" s="109">
        <f>H409</f>
        <v>4455.8</v>
      </c>
    </row>
    <row r="409" spans="1:8" ht="24" x14ac:dyDescent="0.25">
      <c r="A409" s="74"/>
      <c r="B409" s="96"/>
      <c r="C409" s="12" t="s">
        <v>617</v>
      </c>
      <c r="D409" s="12" t="s">
        <v>436</v>
      </c>
      <c r="E409" s="115">
        <f>6822</f>
        <v>6822</v>
      </c>
      <c r="F409" s="115">
        <f>4455.8</f>
        <v>4455.8</v>
      </c>
      <c r="G409" s="55" t="s">
        <v>928</v>
      </c>
      <c r="H409" s="109">
        <f>4455.8</f>
        <v>4455.8</v>
      </c>
    </row>
    <row r="410" spans="1:8" ht="24" x14ac:dyDescent="0.25">
      <c r="A410" s="74"/>
      <c r="B410" s="96"/>
      <c r="C410" s="12" t="s">
        <v>116</v>
      </c>
      <c r="D410" s="12" t="s">
        <v>437</v>
      </c>
      <c r="E410" s="115">
        <f>E411</f>
        <v>1</v>
      </c>
      <c r="F410" s="115">
        <f>F411</f>
        <v>0</v>
      </c>
      <c r="G410" s="55" t="s">
        <v>59</v>
      </c>
      <c r="H410" s="109">
        <f>H411</f>
        <v>0</v>
      </c>
    </row>
    <row r="411" spans="1:8" ht="36" x14ac:dyDescent="0.25">
      <c r="A411" s="74"/>
      <c r="B411" s="96"/>
      <c r="C411" s="12" t="s">
        <v>751</v>
      </c>
      <c r="D411" s="12" t="s">
        <v>438</v>
      </c>
      <c r="E411" s="115">
        <f>1</f>
        <v>1</v>
      </c>
      <c r="F411" s="115">
        <f>0</f>
        <v>0</v>
      </c>
      <c r="G411" s="55" t="s">
        <v>59</v>
      </c>
      <c r="H411" s="109">
        <f>0</f>
        <v>0</v>
      </c>
    </row>
    <row r="412" spans="1:8" x14ac:dyDescent="0.25">
      <c r="A412" s="74"/>
      <c r="B412" s="96"/>
      <c r="C412" s="12" t="s">
        <v>118</v>
      </c>
      <c r="D412" s="12" t="s">
        <v>439</v>
      </c>
      <c r="E412" s="115">
        <f>E413</f>
        <v>1720</v>
      </c>
      <c r="F412" s="115">
        <f>F413</f>
        <v>0</v>
      </c>
      <c r="G412" s="55" t="s">
        <v>59</v>
      </c>
      <c r="H412" s="109">
        <f>H413</f>
        <v>0</v>
      </c>
    </row>
    <row r="413" spans="1:8" x14ac:dyDescent="0.25">
      <c r="A413" s="74"/>
      <c r="B413" s="96"/>
      <c r="C413" s="12" t="s">
        <v>746</v>
      </c>
      <c r="D413" s="12" t="s">
        <v>440</v>
      </c>
      <c r="E413" s="115">
        <f>1720</f>
        <v>1720</v>
      </c>
      <c r="F413" s="115">
        <f>0</f>
        <v>0</v>
      </c>
      <c r="G413" s="55" t="s">
        <v>59</v>
      </c>
      <c r="H413" s="109">
        <f>0</f>
        <v>0</v>
      </c>
    </row>
    <row r="414" spans="1:8" ht="20.100000000000001" customHeight="1" thickBot="1" x14ac:dyDescent="0.3">
      <c r="A414" s="97" t="s">
        <v>22</v>
      </c>
      <c r="B414" s="98"/>
      <c r="C414" s="98"/>
      <c r="D414" s="98"/>
      <c r="E414" s="118">
        <f>E381+E396+E399+E407</f>
        <v>60824.95</v>
      </c>
      <c r="F414" s="118">
        <f>F381+F396+F399+F407</f>
        <v>32551.17</v>
      </c>
      <c r="G414" s="99" t="s">
        <v>784</v>
      </c>
      <c r="H414" s="119">
        <f>H381+H396+H399+H407</f>
        <v>32551.17</v>
      </c>
    </row>
    <row r="415" spans="1:8" ht="24" x14ac:dyDescent="0.25">
      <c r="A415" s="93">
        <v>14</v>
      </c>
      <c r="B415" s="94" t="s">
        <v>441</v>
      </c>
      <c r="C415" s="45" t="s">
        <v>11</v>
      </c>
      <c r="D415" s="45" t="s">
        <v>442</v>
      </c>
      <c r="E415" s="114">
        <f>E416</f>
        <v>0</v>
      </c>
      <c r="F415" s="114">
        <f>F416</f>
        <v>0</v>
      </c>
      <c r="G415" s="72" t="s">
        <v>13</v>
      </c>
      <c r="H415" s="107">
        <v>0</v>
      </c>
    </row>
    <row r="416" spans="1:8" ht="60" x14ac:dyDescent="0.25">
      <c r="A416" s="95"/>
      <c r="B416" s="96"/>
      <c r="C416" s="12" t="s">
        <v>46</v>
      </c>
      <c r="D416" s="12" t="s">
        <v>443</v>
      </c>
      <c r="E416" s="115">
        <f>E417+E418+E419+E420</f>
        <v>0</v>
      </c>
      <c r="F416" s="115">
        <f>F417+F418+F419+F420</f>
        <v>0</v>
      </c>
      <c r="G416" s="55" t="s">
        <v>13</v>
      </c>
      <c r="H416" s="109">
        <v>0</v>
      </c>
    </row>
    <row r="417" spans="1:8" ht="60" x14ac:dyDescent="0.25">
      <c r="A417" s="95"/>
      <c r="B417" s="96"/>
      <c r="C417" s="12" t="s">
        <v>627</v>
      </c>
      <c r="D417" s="12" t="s">
        <v>444</v>
      </c>
      <c r="E417" s="115">
        <f>0</f>
        <v>0</v>
      </c>
      <c r="F417" s="115">
        <f>0</f>
        <v>0</v>
      </c>
      <c r="G417" s="55" t="s">
        <v>13</v>
      </c>
      <c r="H417" s="109">
        <v>0</v>
      </c>
    </row>
    <row r="418" spans="1:8" ht="60" x14ac:dyDescent="0.25">
      <c r="A418" s="95"/>
      <c r="B418" s="96"/>
      <c r="C418" s="12" t="s">
        <v>659</v>
      </c>
      <c r="D418" s="12" t="s">
        <v>445</v>
      </c>
      <c r="E418" s="115">
        <f>0</f>
        <v>0</v>
      </c>
      <c r="F418" s="115">
        <f>0</f>
        <v>0</v>
      </c>
      <c r="G418" s="55" t="s">
        <v>13</v>
      </c>
      <c r="H418" s="109">
        <v>0</v>
      </c>
    </row>
    <row r="419" spans="1:8" ht="36" x14ac:dyDescent="0.25">
      <c r="A419" s="95"/>
      <c r="B419" s="96"/>
      <c r="C419" s="12" t="s">
        <v>660</v>
      </c>
      <c r="D419" s="12" t="s">
        <v>446</v>
      </c>
      <c r="E419" s="115">
        <f>0</f>
        <v>0</v>
      </c>
      <c r="F419" s="115">
        <f>0</f>
        <v>0</v>
      </c>
      <c r="G419" s="55" t="s">
        <v>13</v>
      </c>
      <c r="H419" s="109">
        <v>0</v>
      </c>
    </row>
    <row r="420" spans="1:8" ht="48" x14ac:dyDescent="0.25">
      <c r="A420" s="95"/>
      <c r="B420" s="96"/>
      <c r="C420" s="12" t="s">
        <v>661</v>
      </c>
      <c r="D420" s="12" t="s">
        <v>447</v>
      </c>
      <c r="E420" s="115">
        <f>0</f>
        <v>0</v>
      </c>
      <c r="F420" s="115">
        <f>0</f>
        <v>0</v>
      </c>
      <c r="G420" s="55" t="s">
        <v>13</v>
      </c>
      <c r="H420" s="109">
        <v>0</v>
      </c>
    </row>
    <row r="421" spans="1:8" x14ac:dyDescent="0.25">
      <c r="A421" s="95"/>
      <c r="B421" s="96"/>
      <c r="C421" s="13" t="s">
        <v>24</v>
      </c>
      <c r="D421" s="13" t="s">
        <v>448</v>
      </c>
      <c r="E421" s="116">
        <f>E422+E424</f>
        <v>133391.56</v>
      </c>
      <c r="F421" s="116">
        <f>F422+F424</f>
        <v>65359.9</v>
      </c>
      <c r="G421" s="60" t="s">
        <v>794</v>
      </c>
      <c r="H421" s="111">
        <v>65359.9</v>
      </c>
    </row>
    <row r="422" spans="1:8" ht="24" x14ac:dyDescent="0.25">
      <c r="A422" s="95"/>
      <c r="B422" s="96"/>
      <c r="C422" s="12" t="s">
        <v>46</v>
      </c>
      <c r="D422" s="12" t="s">
        <v>449</v>
      </c>
      <c r="E422" s="115">
        <f>E423</f>
        <v>900</v>
      </c>
      <c r="F422" s="115">
        <f>F423</f>
        <v>0</v>
      </c>
      <c r="G422" s="55" t="s">
        <v>59</v>
      </c>
      <c r="H422" s="109">
        <v>0</v>
      </c>
    </row>
    <row r="423" spans="1:8" ht="36" x14ac:dyDescent="0.25">
      <c r="A423" s="95"/>
      <c r="B423" s="96"/>
      <c r="C423" s="12" t="s">
        <v>659</v>
      </c>
      <c r="D423" s="12" t="s">
        <v>450</v>
      </c>
      <c r="E423" s="115">
        <f>900</f>
        <v>900</v>
      </c>
      <c r="F423" s="115">
        <f>0</f>
        <v>0</v>
      </c>
      <c r="G423" s="55" t="s">
        <v>59</v>
      </c>
      <c r="H423" s="109">
        <v>0</v>
      </c>
    </row>
    <row r="424" spans="1:8" ht="24" x14ac:dyDescent="0.25">
      <c r="A424" s="95"/>
      <c r="B424" s="96"/>
      <c r="C424" s="12" t="s">
        <v>39</v>
      </c>
      <c r="D424" s="12" t="s">
        <v>451</v>
      </c>
      <c r="E424" s="115">
        <f>E425+E426+E435+E439</f>
        <v>132491.56</v>
      </c>
      <c r="F424" s="115">
        <f>F425+F426+F435+F439</f>
        <v>65359.9</v>
      </c>
      <c r="G424" s="55" t="s">
        <v>795</v>
      </c>
      <c r="H424" s="109">
        <v>65359.9</v>
      </c>
    </row>
    <row r="425" spans="1:8" ht="24" x14ac:dyDescent="0.25">
      <c r="A425" s="95"/>
      <c r="B425" s="96"/>
      <c r="C425" s="12" t="s">
        <v>624</v>
      </c>
      <c r="D425" s="12" t="s">
        <v>461</v>
      </c>
      <c r="E425" s="115">
        <f>1684+31981</f>
        <v>33665</v>
      </c>
      <c r="F425" s="115">
        <f>995.5</f>
        <v>995.5</v>
      </c>
      <c r="G425" s="55" t="s">
        <v>796</v>
      </c>
      <c r="H425" s="109">
        <v>995.5</v>
      </c>
    </row>
    <row r="426" spans="1:8" ht="24" x14ac:dyDescent="0.25">
      <c r="A426" s="95"/>
      <c r="B426" s="96"/>
      <c r="C426" s="12" t="s">
        <v>808</v>
      </c>
      <c r="D426" s="12" t="s">
        <v>452</v>
      </c>
      <c r="E426" s="115">
        <f>E427+E428+E429+E430+E431+E432+E433+E434</f>
        <v>93009.51</v>
      </c>
      <c r="F426" s="115">
        <f>F427+F428+F429+F430+F431+F432+F433+F434</f>
        <v>59354.530000000006</v>
      </c>
      <c r="G426" s="55" t="s">
        <v>652</v>
      </c>
      <c r="H426" s="109">
        <v>59354.53</v>
      </c>
    </row>
    <row r="427" spans="1:8" ht="24" x14ac:dyDescent="0.25">
      <c r="A427" s="95"/>
      <c r="B427" s="96"/>
      <c r="C427" s="12" t="s">
        <v>809</v>
      </c>
      <c r="D427" s="12" t="s">
        <v>453</v>
      </c>
      <c r="E427" s="115">
        <f>68555.42</f>
        <v>68555.42</v>
      </c>
      <c r="F427" s="115">
        <f>45133.02</f>
        <v>45133.02</v>
      </c>
      <c r="G427" s="55" t="s">
        <v>797</v>
      </c>
      <c r="H427" s="109">
        <v>45133.02</v>
      </c>
    </row>
    <row r="428" spans="1:8" x14ac:dyDescent="0.25">
      <c r="A428" s="95"/>
      <c r="B428" s="96"/>
      <c r="C428" s="12" t="s">
        <v>810</v>
      </c>
      <c r="D428" s="12" t="s">
        <v>455</v>
      </c>
      <c r="E428" s="115">
        <f>21336.41</f>
        <v>21336.41</v>
      </c>
      <c r="F428" s="115">
        <f>12215.95</f>
        <v>12215.95</v>
      </c>
      <c r="G428" s="55" t="s">
        <v>798</v>
      </c>
      <c r="H428" s="109">
        <v>12215.95</v>
      </c>
    </row>
    <row r="429" spans="1:8" x14ac:dyDescent="0.25">
      <c r="A429" s="95"/>
      <c r="B429" s="96"/>
      <c r="C429" s="12" t="s">
        <v>811</v>
      </c>
      <c r="D429" s="12" t="s">
        <v>456</v>
      </c>
      <c r="E429" s="115">
        <f>1886.2</f>
        <v>1886.2</v>
      </c>
      <c r="F429" s="115">
        <f>831.54</f>
        <v>831.54</v>
      </c>
      <c r="G429" s="55" t="s">
        <v>799</v>
      </c>
      <c r="H429" s="109">
        <v>831.54</v>
      </c>
    </row>
    <row r="430" spans="1:8" ht="24" x14ac:dyDescent="0.25">
      <c r="A430" s="95"/>
      <c r="B430" s="96"/>
      <c r="C430" s="12" t="s">
        <v>811</v>
      </c>
      <c r="D430" s="12" t="s">
        <v>457</v>
      </c>
      <c r="E430" s="115">
        <f>0</f>
        <v>0</v>
      </c>
      <c r="F430" s="115">
        <f>0</f>
        <v>0</v>
      </c>
      <c r="G430" s="55" t="s">
        <v>13</v>
      </c>
      <c r="H430" s="109">
        <v>0</v>
      </c>
    </row>
    <row r="431" spans="1:8" ht="24" x14ac:dyDescent="0.25">
      <c r="A431" s="95"/>
      <c r="B431" s="96"/>
      <c r="C431" s="12" t="s">
        <v>812</v>
      </c>
      <c r="D431" s="12" t="s">
        <v>458</v>
      </c>
      <c r="E431" s="115">
        <f>0</f>
        <v>0</v>
      </c>
      <c r="F431" s="115">
        <f>0</f>
        <v>0</v>
      </c>
      <c r="G431" s="55" t="s">
        <v>13</v>
      </c>
      <c r="H431" s="109">
        <v>0</v>
      </c>
    </row>
    <row r="432" spans="1:8" x14ac:dyDescent="0.25">
      <c r="A432" s="95"/>
      <c r="B432" s="96"/>
      <c r="C432" s="12" t="s">
        <v>813</v>
      </c>
      <c r="D432" s="12" t="s">
        <v>459</v>
      </c>
      <c r="E432" s="115">
        <f>233.92</f>
        <v>233.92</v>
      </c>
      <c r="F432" s="115">
        <f>176.47</f>
        <v>176.47</v>
      </c>
      <c r="G432" s="55" t="s">
        <v>800</v>
      </c>
      <c r="H432" s="109">
        <v>176.47</v>
      </c>
    </row>
    <row r="433" spans="1:8" ht="24" x14ac:dyDescent="0.25">
      <c r="A433" s="95"/>
      <c r="B433" s="96"/>
      <c r="C433" s="12" t="s">
        <v>814</v>
      </c>
      <c r="D433" s="12" t="s">
        <v>460</v>
      </c>
      <c r="E433" s="115">
        <f>0</f>
        <v>0</v>
      </c>
      <c r="F433" s="115">
        <f>0</f>
        <v>0</v>
      </c>
      <c r="G433" s="55" t="s">
        <v>13</v>
      </c>
      <c r="H433" s="109">
        <v>0</v>
      </c>
    </row>
    <row r="434" spans="1:8" ht="24" x14ac:dyDescent="0.25">
      <c r="A434" s="95"/>
      <c r="B434" s="96"/>
      <c r="C434" s="12" t="s">
        <v>815</v>
      </c>
      <c r="D434" s="12" t="s">
        <v>801</v>
      </c>
      <c r="E434" s="115">
        <f>997.56</f>
        <v>997.56</v>
      </c>
      <c r="F434" s="115">
        <f>997.55</f>
        <v>997.55</v>
      </c>
      <c r="G434" s="55" t="s">
        <v>719</v>
      </c>
      <c r="H434" s="109">
        <v>997.55</v>
      </c>
    </row>
    <row r="435" spans="1:8" x14ac:dyDescent="0.25">
      <c r="A435" s="95"/>
      <c r="B435" s="96"/>
      <c r="C435" s="12" t="s">
        <v>816</v>
      </c>
      <c r="D435" s="12" t="s">
        <v>462</v>
      </c>
      <c r="E435" s="115">
        <f>E436+E437+E438</f>
        <v>2996.3700000000003</v>
      </c>
      <c r="F435" s="115">
        <f>F436+F437+F438</f>
        <v>2209.88</v>
      </c>
      <c r="G435" s="55" t="s">
        <v>802</v>
      </c>
      <c r="H435" s="109">
        <v>2209.88</v>
      </c>
    </row>
    <row r="436" spans="1:8" x14ac:dyDescent="0.25">
      <c r="A436" s="95"/>
      <c r="B436" s="96"/>
      <c r="C436" s="12" t="s">
        <v>817</v>
      </c>
      <c r="D436" s="12" t="s">
        <v>803</v>
      </c>
      <c r="E436" s="115">
        <f>244.5</f>
        <v>244.5</v>
      </c>
      <c r="F436" s="115">
        <f>0</f>
        <v>0</v>
      </c>
      <c r="G436" s="55" t="s">
        <v>59</v>
      </c>
      <c r="H436" s="109">
        <v>0</v>
      </c>
    </row>
    <row r="437" spans="1:8" x14ac:dyDescent="0.25">
      <c r="A437" s="95"/>
      <c r="B437" s="96"/>
      <c r="C437" s="12" t="s">
        <v>818</v>
      </c>
      <c r="D437" s="12" t="s">
        <v>463</v>
      </c>
      <c r="E437" s="115">
        <f>2414.78</f>
        <v>2414.7800000000002</v>
      </c>
      <c r="F437" s="115">
        <f>2209.88</f>
        <v>2209.88</v>
      </c>
      <c r="G437" s="55" t="s">
        <v>804</v>
      </c>
      <c r="H437" s="109">
        <v>2209.88</v>
      </c>
    </row>
    <row r="438" spans="1:8" x14ac:dyDescent="0.25">
      <c r="A438" s="95"/>
      <c r="B438" s="96"/>
      <c r="C438" s="12" t="s">
        <v>819</v>
      </c>
      <c r="D438" s="12" t="s">
        <v>805</v>
      </c>
      <c r="E438" s="115">
        <f>337.09</f>
        <v>337.09</v>
      </c>
      <c r="F438" s="115">
        <f>0</f>
        <v>0</v>
      </c>
      <c r="G438" s="55" t="s">
        <v>59</v>
      </c>
      <c r="H438" s="109">
        <v>0</v>
      </c>
    </row>
    <row r="439" spans="1:8" ht="24" x14ac:dyDescent="0.25">
      <c r="A439" s="95"/>
      <c r="B439" s="96"/>
      <c r="C439" s="12" t="s">
        <v>820</v>
      </c>
      <c r="D439" s="12" t="s">
        <v>464</v>
      </c>
      <c r="E439" s="115">
        <f>2820.68</f>
        <v>2820.68</v>
      </c>
      <c r="F439" s="115">
        <f>2799.99</f>
        <v>2799.99</v>
      </c>
      <c r="G439" s="55" t="s">
        <v>806</v>
      </c>
      <c r="H439" s="109">
        <v>2799.99</v>
      </c>
    </row>
    <row r="440" spans="1:8" x14ac:dyDescent="0.25">
      <c r="A440" s="95"/>
      <c r="B440" s="96"/>
      <c r="C440" s="13" t="s">
        <v>17</v>
      </c>
      <c r="D440" s="13" t="s">
        <v>50</v>
      </c>
      <c r="E440" s="116">
        <f>E441</f>
        <v>34299.89</v>
      </c>
      <c r="F440" s="116">
        <f>F441</f>
        <v>24339.8</v>
      </c>
      <c r="G440" s="60" t="s">
        <v>807</v>
      </c>
      <c r="H440" s="111">
        <v>24339.8</v>
      </c>
    </row>
    <row r="441" spans="1:8" ht="24" x14ac:dyDescent="0.25">
      <c r="A441" s="95"/>
      <c r="B441" s="96"/>
      <c r="C441" s="12" t="s">
        <v>26</v>
      </c>
      <c r="D441" s="12" t="s">
        <v>51</v>
      </c>
      <c r="E441" s="115">
        <f>E442</f>
        <v>34299.89</v>
      </c>
      <c r="F441" s="115">
        <f>F442</f>
        <v>24339.8</v>
      </c>
      <c r="G441" s="55" t="s">
        <v>807</v>
      </c>
      <c r="H441" s="109">
        <v>24339.8</v>
      </c>
    </row>
    <row r="442" spans="1:8" ht="24" x14ac:dyDescent="0.25">
      <c r="A442" s="95"/>
      <c r="B442" s="96"/>
      <c r="C442" s="12" t="s">
        <v>620</v>
      </c>
      <c r="D442" s="12" t="s">
        <v>465</v>
      </c>
      <c r="E442" s="115">
        <f>34299.89</f>
        <v>34299.89</v>
      </c>
      <c r="F442" s="115">
        <f>24339.8</f>
        <v>24339.8</v>
      </c>
      <c r="G442" s="55" t="s">
        <v>807</v>
      </c>
      <c r="H442" s="109">
        <v>24339.8</v>
      </c>
    </row>
    <row r="443" spans="1:8" ht="20.100000000000001" customHeight="1" thickBot="1" x14ac:dyDescent="0.3">
      <c r="A443" s="89" t="s">
        <v>22</v>
      </c>
      <c r="B443" s="90"/>
      <c r="C443" s="90"/>
      <c r="D443" s="90"/>
      <c r="E443" s="117">
        <f>E415+E421+E441</f>
        <v>167691.45000000001</v>
      </c>
      <c r="F443" s="117">
        <f>F415+F421+F441</f>
        <v>89699.7</v>
      </c>
      <c r="G443" s="67" t="s">
        <v>784</v>
      </c>
      <c r="H443" s="113">
        <f>H415+H421+H441</f>
        <v>89699.7</v>
      </c>
    </row>
    <row r="444" spans="1:8" ht="60" x14ac:dyDescent="0.25">
      <c r="A444" s="100">
        <v>15</v>
      </c>
      <c r="B444" s="86" t="s">
        <v>466</v>
      </c>
      <c r="C444" s="45" t="s">
        <v>11</v>
      </c>
      <c r="D444" s="45" t="s">
        <v>467</v>
      </c>
      <c r="E444" s="114">
        <f>E445+E448+E454</f>
        <v>66369.570000000007</v>
      </c>
      <c r="F444" s="114">
        <f>F445+F448+F454</f>
        <v>44836.86</v>
      </c>
      <c r="G444" s="72" t="s">
        <v>821</v>
      </c>
      <c r="H444" s="107">
        <f>H445+H448+H454</f>
        <v>44836.86</v>
      </c>
    </row>
    <row r="445" spans="1:8" ht="36" x14ac:dyDescent="0.25">
      <c r="A445" s="101"/>
      <c r="B445" s="87"/>
      <c r="C445" s="12" t="s">
        <v>26</v>
      </c>
      <c r="D445" s="12" t="s">
        <v>468</v>
      </c>
      <c r="E445" s="115">
        <f>E446+E447</f>
        <v>0</v>
      </c>
      <c r="F445" s="115">
        <f>F446+F447</f>
        <v>0</v>
      </c>
      <c r="G445" s="55" t="s">
        <v>13</v>
      </c>
      <c r="H445" s="109">
        <f>H446+H447</f>
        <v>0</v>
      </c>
    </row>
    <row r="446" spans="1:8" ht="36" x14ac:dyDescent="0.25">
      <c r="A446" s="101"/>
      <c r="B446" s="87"/>
      <c r="C446" s="12" t="s">
        <v>619</v>
      </c>
      <c r="D446" s="12" t="s">
        <v>469</v>
      </c>
      <c r="E446" s="115">
        <f>0</f>
        <v>0</v>
      </c>
      <c r="F446" s="115">
        <f>0</f>
        <v>0</v>
      </c>
      <c r="G446" s="55" t="s">
        <v>13</v>
      </c>
      <c r="H446" s="109">
        <f>0</f>
        <v>0</v>
      </c>
    </row>
    <row r="447" spans="1:8" ht="36" x14ac:dyDescent="0.25">
      <c r="A447" s="101"/>
      <c r="B447" s="87"/>
      <c r="C447" s="12" t="s">
        <v>620</v>
      </c>
      <c r="D447" s="12" t="s">
        <v>470</v>
      </c>
      <c r="E447" s="115">
        <f>0</f>
        <v>0</v>
      </c>
      <c r="F447" s="115">
        <f>0</f>
        <v>0</v>
      </c>
      <c r="G447" s="55" t="s">
        <v>13</v>
      </c>
      <c r="H447" s="109">
        <f>0</f>
        <v>0</v>
      </c>
    </row>
    <row r="448" spans="1:8" ht="24" x14ac:dyDescent="0.25">
      <c r="A448" s="101"/>
      <c r="B448" s="87"/>
      <c r="C448" s="12" t="s">
        <v>46</v>
      </c>
      <c r="D448" s="12" t="s">
        <v>471</v>
      </c>
      <c r="E448" s="115">
        <f>E449+E450+E451+E452+E453</f>
        <v>64443.57</v>
      </c>
      <c r="F448" s="115">
        <f>F449+F450+F451+F452+F453</f>
        <v>43456.86</v>
      </c>
      <c r="G448" s="55" t="s">
        <v>822</v>
      </c>
      <c r="H448" s="109">
        <f>H449+H450+H451+H452+H453</f>
        <v>43456.86</v>
      </c>
    </row>
    <row r="449" spans="1:8" ht="72" x14ac:dyDescent="0.25">
      <c r="A449" s="101"/>
      <c r="B449" s="87"/>
      <c r="C449" s="12" t="s">
        <v>627</v>
      </c>
      <c r="D449" s="12" t="s">
        <v>472</v>
      </c>
      <c r="E449" s="115">
        <f>0</f>
        <v>0</v>
      </c>
      <c r="F449" s="115">
        <f>0</f>
        <v>0</v>
      </c>
      <c r="G449" s="55" t="s">
        <v>164</v>
      </c>
      <c r="H449" s="109">
        <f>0</f>
        <v>0</v>
      </c>
    </row>
    <row r="450" spans="1:8" ht="36" x14ac:dyDescent="0.25">
      <c r="A450" s="101"/>
      <c r="B450" s="87"/>
      <c r="C450" s="12" t="s">
        <v>659</v>
      </c>
      <c r="D450" s="12" t="s">
        <v>473</v>
      </c>
      <c r="E450" s="115">
        <f>0</f>
        <v>0</v>
      </c>
      <c r="F450" s="115">
        <f>0</f>
        <v>0</v>
      </c>
      <c r="G450" s="55" t="s">
        <v>13</v>
      </c>
      <c r="H450" s="109">
        <f>0</f>
        <v>0</v>
      </c>
    </row>
    <row r="451" spans="1:8" ht="36" x14ac:dyDescent="0.25">
      <c r="A451" s="101"/>
      <c r="B451" s="87"/>
      <c r="C451" s="12" t="s">
        <v>660</v>
      </c>
      <c r="D451" s="12" t="s">
        <v>474</v>
      </c>
      <c r="E451" s="115">
        <f>59254.58</f>
        <v>59254.58</v>
      </c>
      <c r="F451" s="115">
        <f>40930.96</f>
        <v>40930.959999999999</v>
      </c>
      <c r="G451" s="55" t="s">
        <v>823</v>
      </c>
      <c r="H451" s="109">
        <f>40930.96</f>
        <v>40930.959999999999</v>
      </c>
    </row>
    <row r="452" spans="1:8" ht="36" x14ac:dyDescent="0.25">
      <c r="A452" s="101"/>
      <c r="B452" s="87"/>
      <c r="C452" s="12" t="s">
        <v>661</v>
      </c>
      <c r="D452" s="12" t="s">
        <v>475</v>
      </c>
      <c r="E452" s="115">
        <f>4217.99</f>
        <v>4217.99</v>
      </c>
      <c r="F452" s="115">
        <f>1653.04</f>
        <v>1653.04</v>
      </c>
      <c r="G452" s="55" t="s">
        <v>690</v>
      </c>
      <c r="H452" s="109">
        <f>1653.04</f>
        <v>1653.04</v>
      </c>
    </row>
    <row r="453" spans="1:8" ht="96" x14ac:dyDescent="0.25">
      <c r="A453" s="101"/>
      <c r="B453" s="87"/>
      <c r="C453" s="12" t="s">
        <v>662</v>
      </c>
      <c r="D453" s="12" t="s">
        <v>477</v>
      </c>
      <c r="E453" s="115">
        <f>49+922</f>
        <v>971</v>
      </c>
      <c r="F453" s="115">
        <f>43.64+829.22</f>
        <v>872.86</v>
      </c>
      <c r="G453" s="55" t="s">
        <v>824</v>
      </c>
      <c r="H453" s="109">
        <f>43.64+829.22</f>
        <v>872.86</v>
      </c>
    </row>
    <row r="454" spans="1:8" ht="48" x14ac:dyDescent="0.25">
      <c r="A454" s="101"/>
      <c r="B454" s="87"/>
      <c r="C454" s="12" t="s">
        <v>14</v>
      </c>
      <c r="D454" s="12" t="s">
        <v>478</v>
      </c>
      <c r="E454" s="115">
        <f>E455+E456</f>
        <v>1926</v>
      </c>
      <c r="F454" s="115">
        <f>F455+F456</f>
        <v>1380</v>
      </c>
      <c r="G454" s="55" t="s">
        <v>825</v>
      </c>
      <c r="H454" s="109">
        <f>H455+H456</f>
        <v>1380</v>
      </c>
    </row>
    <row r="455" spans="1:8" ht="48" x14ac:dyDescent="0.25">
      <c r="A455" s="101"/>
      <c r="B455" s="87"/>
      <c r="C455" s="12" t="s">
        <v>617</v>
      </c>
      <c r="D455" s="12" t="s">
        <v>479</v>
      </c>
      <c r="E455" s="115">
        <f>0</f>
        <v>0</v>
      </c>
      <c r="F455" s="115">
        <f>0</f>
        <v>0</v>
      </c>
      <c r="G455" s="55" t="s">
        <v>13</v>
      </c>
      <c r="H455" s="109">
        <f>0</f>
        <v>0</v>
      </c>
    </row>
    <row r="456" spans="1:8" ht="72" x14ac:dyDescent="0.25">
      <c r="A456" s="101"/>
      <c r="B456" s="87"/>
      <c r="C456" s="12" t="s">
        <v>618</v>
      </c>
      <c r="D456" s="12" t="s">
        <v>480</v>
      </c>
      <c r="E456" s="115">
        <f>391+1535</f>
        <v>1926</v>
      </c>
      <c r="F456" s="115">
        <f>280.14+1099.86</f>
        <v>1380</v>
      </c>
      <c r="G456" s="55" t="s">
        <v>825</v>
      </c>
      <c r="H456" s="109">
        <f>280.14+1099.86</f>
        <v>1380</v>
      </c>
    </row>
    <row r="457" spans="1:8" ht="36" x14ac:dyDescent="0.25">
      <c r="A457" s="101"/>
      <c r="B457" s="87"/>
      <c r="C457" s="13" t="s">
        <v>24</v>
      </c>
      <c r="D457" s="13" t="s">
        <v>481</v>
      </c>
      <c r="E457" s="116">
        <f>E458+E463+E465+E469+E471+E473+E475</f>
        <v>39832.18</v>
      </c>
      <c r="F457" s="116">
        <f>F458+F463+F465+F469+F471+F473+F475</f>
        <v>21936.739999999998</v>
      </c>
      <c r="G457" s="60" t="s">
        <v>224</v>
      </c>
      <c r="H457" s="111">
        <f>H458+H463+H465+H469+H471+H473+H475</f>
        <v>21936.739999999998</v>
      </c>
    </row>
    <row r="458" spans="1:8" x14ac:dyDescent="0.25">
      <c r="A458" s="101"/>
      <c r="B458" s="87"/>
      <c r="C458" s="12" t="s">
        <v>26</v>
      </c>
      <c r="D458" s="12" t="s">
        <v>482</v>
      </c>
      <c r="E458" s="115">
        <f>E459+E460+E461+E462</f>
        <v>31379.91</v>
      </c>
      <c r="F458" s="115">
        <f>F459+F460+F461+F462</f>
        <v>19263.71</v>
      </c>
      <c r="G458" s="55" t="s">
        <v>826</v>
      </c>
      <c r="H458" s="109">
        <f>H459+H460+H461+H462</f>
        <v>19263.71</v>
      </c>
    </row>
    <row r="459" spans="1:8" ht="36" x14ac:dyDescent="0.25">
      <c r="A459" s="101"/>
      <c r="B459" s="87"/>
      <c r="C459" s="12" t="s">
        <v>619</v>
      </c>
      <c r="D459" s="12" t="s">
        <v>483</v>
      </c>
      <c r="E459" s="115">
        <f>0</f>
        <v>0</v>
      </c>
      <c r="F459" s="115">
        <f>0</f>
        <v>0</v>
      </c>
      <c r="G459" s="55" t="s">
        <v>13</v>
      </c>
      <c r="H459" s="109">
        <f>0</f>
        <v>0</v>
      </c>
    </row>
    <row r="460" spans="1:8" ht="36" x14ac:dyDescent="0.25">
      <c r="A460" s="101"/>
      <c r="B460" s="87"/>
      <c r="C460" s="12" t="s">
        <v>620</v>
      </c>
      <c r="D460" s="12" t="s">
        <v>484</v>
      </c>
      <c r="E460" s="115">
        <f>844.23</f>
        <v>844.23</v>
      </c>
      <c r="F460" s="115">
        <f>325.42</f>
        <v>325.42</v>
      </c>
      <c r="G460" s="55" t="s">
        <v>827</v>
      </c>
      <c r="H460" s="109">
        <f>325.42</f>
        <v>325.42</v>
      </c>
    </row>
    <row r="461" spans="1:8" ht="60" x14ac:dyDescent="0.25">
      <c r="A461" s="101"/>
      <c r="B461" s="87"/>
      <c r="C461" s="12" t="s">
        <v>656</v>
      </c>
      <c r="D461" s="12" t="s">
        <v>485</v>
      </c>
      <c r="E461" s="115">
        <f>0</f>
        <v>0</v>
      </c>
      <c r="F461" s="115">
        <f>0</f>
        <v>0</v>
      </c>
      <c r="G461" s="55" t="s">
        <v>13</v>
      </c>
      <c r="H461" s="109">
        <f>0</f>
        <v>0</v>
      </c>
    </row>
    <row r="462" spans="1:8" x14ac:dyDescent="0.25">
      <c r="A462" s="101"/>
      <c r="B462" s="87"/>
      <c r="C462" s="12" t="s">
        <v>621</v>
      </c>
      <c r="D462" s="12" t="s">
        <v>486</v>
      </c>
      <c r="E462" s="115">
        <f>30535.68</f>
        <v>30535.68</v>
      </c>
      <c r="F462" s="115">
        <f>18938.29</f>
        <v>18938.29</v>
      </c>
      <c r="G462" s="55" t="s">
        <v>828</v>
      </c>
      <c r="H462" s="109">
        <f>18938.29</f>
        <v>18938.29</v>
      </c>
    </row>
    <row r="463" spans="1:8" x14ac:dyDescent="0.25">
      <c r="A463" s="101"/>
      <c r="B463" s="87"/>
      <c r="C463" s="12" t="s">
        <v>46</v>
      </c>
      <c r="D463" s="12" t="s">
        <v>487</v>
      </c>
      <c r="E463" s="115">
        <f>E464</f>
        <v>3704.57</v>
      </c>
      <c r="F463" s="115">
        <f>F464</f>
        <v>900</v>
      </c>
      <c r="G463" s="55" t="s">
        <v>829</v>
      </c>
      <c r="H463" s="109">
        <f>H464</f>
        <v>900</v>
      </c>
    </row>
    <row r="464" spans="1:8" ht="132" x14ac:dyDescent="0.25">
      <c r="A464" s="101"/>
      <c r="B464" s="87"/>
      <c r="C464" s="12" t="s">
        <v>627</v>
      </c>
      <c r="D464" s="12" t="s">
        <v>488</v>
      </c>
      <c r="E464" s="115">
        <f>3704.57</f>
        <v>3704.57</v>
      </c>
      <c r="F464" s="115">
        <f>900</f>
        <v>900</v>
      </c>
      <c r="G464" s="55" t="s">
        <v>829</v>
      </c>
      <c r="H464" s="109">
        <f>900</f>
        <v>900</v>
      </c>
    </row>
    <row r="465" spans="1:8" x14ac:dyDescent="0.25">
      <c r="A465" s="101"/>
      <c r="B465" s="87"/>
      <c r="C465" s="12" t="s">
        <v>14</v>
      </c>
      <c r="D465" s="12" t="s">
        <v>489</v>
      </c>
      <c r="E465" s="115">
        <f>E466+E467+E468</f>
        <v>2327.6999999999998</v>
      </c>
      <c r="F465" s="115">
        <f>F466+F467+F468</f>
        <v>563.5</v>
      </c>
      <c r="G465" s="55" t="s">
        <v>830</v>
      </c>
      <c r="H465" s="109">
        <f>H466+H467+H468</f>
        <v>563.5</v>
      </c>
    </row>
    <row r="466" spans="1:8" x14ac:dyDescent="0.25">
      <c r="A466" s="101"/>
      <c r="B466" s="87"/>
      <c r="C466" s="12" t="s">
        <v>617</v>
      </c>
      <c r="D466" s="12" t="s">
        <v>490</v>
      </c>
      <c r="E466" s="115">
        <f>670</f>
        <v>670</v>
      </c>
      <c r="F466" s="115">
        <f>270</f>
        <v>270</v>
      </c>
      <c r="G466" s="55" t="s">
        <v>831</v>
      </c>
      <c r="H466" s="109">
        <f>270</f>
        <v>270</v>
      </c>
    </row>
    <row r="467" spans="1:8" ht="60" x14ac:dyDescent="0.25">
      <c r="A467" s="101"/>
      <c r="B467" s="87"/>
      <c r="C467" s="12" t="s">
        <v>618</v>
      </c>
      <c r="D467" s="12" t="s">
        <v>491</v>
      </c>
      <c r="E467" s="115">
        <f>165.5</f>
        <v>165.5</v>
      </c>
      <c r="F467" s="115">
        <f>66.2</f>
        <v>66.2</v>
      </c>
      <c r="G467" s="55" t="s">
        <v>634</v>
      </c>
      <c r="H467" s="109">
        <f>66.2</f>
        <v>66.2</v>
      </c>
    </row>
    <row r="468" spans="1:8" ht="36" x14ac:dyDescent="0.25">
      <c r="A468" s="101"/>
      <c r="B468" s="87"/>
      <c r="C468" s="12" t="s">
        <v>678</v>
      </c>
      <c r="D468" s="12" t="s">
        <v>492</v>
      </c>
      <c r="E468" s="115">
        <f>1492.2</f>
        <v>1492.2</v>
      </c>
      <c r="F468" s="115">
        <f>227.3</f>
        <v>227.3</v>
      </c>
      <c r="G468" s="55" t="s">
        <v>832</v>
      </c>
      <c r="H468" s="109">
        <f>227.3</f>
        <v>227.3</v>
      </c>
    </row>
    <row r="469" spans="1:8" ht="24" x14ac:dyDescent="0.25">
      <c r="A469" s="101"/>
      <c r="B469" s="87"/>
      <c r="C469" s="12" t="s">
        <v>116</v>
      </c>
      <c r="D469" s="12" t="s">
        <v>493</v>
      </c>
      <c r="E469" s="115">
        <f>E470</f>
        <v>0</v>
      </c>
      <c r="F469" s="115">
        <f>F470</f>
        <v>0</v>
      </c>
      <c r="G469" s="55" t="s">
        <v>13</v>
      </c>
      <c r="H469" s="109">
        <f>H470</f>
        <v>0</v>
      </c>
    </row>
    <row r="470" spans="1:8" ht="24" x14ac:dyDescent="0.25">
      <c r="A470" s="101"/>
      <c r="B470" s="87"/>
      <c r="C470" s="12" t="s">
        <v>751</v>
      </c>
      <c r="D470" s="12" t="s">
        <v>494</v>
      </c>
      <c r="E470" s="115">
        <f>0</f>
        <v>0</v>
      </c>
      <c r="F470" s="115">
        <f>0</f>
        <v>0</v>
      </c>
      <c r="G470" s="55" t="s">
        <v>13</v>
      </c>
      <c r="H470" s="109">
        <f>0</f>
        <v>0</v>
      </c>
    </row>
    <row r="471" spans="1:8" ht="24" x14ac:dyDescent="0.25">
      <c r="A471" s="101"/>
      <c r="B471" s="87"/>
      <c r="C471" s="12" t="s">
        <v>833</v>
      </c>
      <c r="D471" s="12" t="s">
        <v>482</v>
      </c>
      <c r="E471" s="115">
        <f>E472</f>
        <v>0</v>
      </c>
      <c r="F471" s="115">
        <f>F472</f>
        <v>0</v>
      </c>
      <c r="G471" s="55" t="s">
        <v>13</v>
      </c>
      <c r="H471" s="109">
        <f>H472</f>
        <v>0</v>
      </c>
    </row>
    <row r="472" spans="1:8" ht="48" x14ac:dyDescent="0.25">
      <c r="A472" s="101"/>
      <c r="B472" s="87"/>
      <c r="C472" s="12" t="s">
        <v>837</v>
      </c>
      <c r="D472" s="12" t="s">
        <v>834</v>
      </c>
      <c r="E472" s="115">
        <f>0</f>
        <v>0</v>
      </c>
      <c r="F472" s="115">
        <f>0</f>
        <v>0</v>
      </c>
      <c r="G472" s="55" t="s">
        <v>13</v>
      </c>
      <c r="H472" s="109">
        <f>0</f>
        <v>0</v>
      </c>
    </row>
    <row r="473" spans="1:8" x14ac:dyDescent="0.25">
      <c r="A473" s="101"/>
      <c r="B473" s="87"/>
      <c r="C473" s="12" t="s">
        <v>495</v>
      </c>
      <c r="D473" s="12" t="s">
        <v>489</v>
      </c>
      <c r="E473" s="115">
        <f>E474</f>
        <v>2420</v>
      </c>
      <c r="F473" s="115">
        <f>F474</f>
        <v>1209.53</v>
      </c>
      <c r="G473" s="55" t="s">
        <v>835</v>
      </c>
      <c r="H473" s="109">
        <f>H474</f>
        <v>1209.53</v>
      </c>
    </row>
    <row r="474" spans="1:8" ht="24" x14ac:dyDescent="0.25">
      <c r="A474" s="101"/>
      <c r="B474" s="87"/>
      <c r="C474" s="12" t="s">
        <v>838</v>
      </c>
      <c r="D474" s="12" t="s">
        <v>497</v>
      </c>
      <c r="E474" s="115">
        <f>492+1928</f>
        <v>2420</v>
      </c>
      <c r="F474" s="115">
        <f>245.53+964</f>
        <v>1209.53</v>
      </c>
      <c r="G474" s="55" t="s">
        <v>835</v>
      </c>
      <c r="H474" s="109">
        <f>245.53+964</f>
        <v>1209.53</v>
      </c>
    </row>
    <row r="475" spans="1:8" ht="24" x14ac:dyDescent="0.25">
      <c r="A475" s="101"/>
      <c r="B475" s="87"/>
      <c r="C475" s="12" t="s">
        <v>498</v>
      </c>
      <c r="D475" s="12" t="s">
        <v>110</v>
      </c>
      <c r="E475" s="115">
        <f>E476+E477+E478+E479+E480+E481</f>
        <v>0</v>
      </c>
      <c r="F475" s="115">
        <f>F476+F477+F478+F479+F480+F481</f>
        <v>0</v>
      </c>
      <c r="G475" s="55" t="s">
        <v>13</v>
      </c>
      <c r="H475" s="109">
        <f>H476+H477+H478+H479+H480+H481</f>
        <v>0</v>
      </c>
    </row>
    <row r="476" spans="1:8" ht="24" x14ac:dyDescent="0.25">
      <c r="A476" s="101"/>
      <c r="B476" s="87"/>
      <c r="C476" s="12" t="s">
        <v>839</v>
      </c>
      <c r="D476" s="12" t="s">
        <v>499</v>
      </c>
      <c r="E476" s="115">
        <f>0</f>
        <v>0</v>
      </c>
      <c r="F476" s="115">
        <f>0</f>
        <v>0</v>
      </c>
      <c r="G476" s="55" t="s">
        <v>13</v>
      </c>
      <c r="H476" s="109">
        <f>0</f>
        <v>0</v>
      </c>
    </row>
    <row r="477" spans="1:8" ht="36" x14ac:dyDescent="0.25">
      <c r="A477" s="101"/>
      <c r="B477" s="87"/>
      <c r="C477" s="12" t="s">
        <v>840</v>
      </c>
      <c r="D477" s="12" t="s">
        <v>500</v>
      </c>
      <c r="E477" s="115">
        <f>0</f>
        <v>0</v>
      </c>
      <c r="F477" s="115">
        <f>0</f>
        <v>0</v>
      </c>
      <c r="G477" s="55" t="s">
        <v>13</v>
      </c>
      <c r="H477" s="109">
        <f>0</f>
        <v>0</v>
      </c>
    </row>
    <row r="478" spans="1:8" ht="24" x14ac:dyDescent="0.25">
      <c r="A478" s="101"/>
      <c r="B478" s="87"/>
      <c r="C478" s="12" t="s">
        <v>841</v>
      </c>
      <c r="D478" s="12" t="s">
        <v>501</v>
      </c>
      <c r="E478" s="115">
        <f>0</f>
        <v>0</v>
      </c>
      <c r="F478" s="115">
        <f>0</f>
        <v>0</v>
      </c>
      <c r="G478" s="55" t="s">
        <v>13</v>
      </c>
      <c r="H478" s="109">
        <f>0</f>
        <v>0</v>
      </c>
    </row>
    <row r="479" spans="1:8" ht="36" x14ac:dyDescent="0.25">
      <c r="A479" s="101"/>
      <c r="B479" s="87"/>
      <c r="C479" s="12" t="s">
        <v>842</v>
      </c>
      <c r="D479" s="12" t="s">
        <v>502</v>
      </c>
      <c r="E479" s="115">
        <f>0</f>
        <v>0</v>
      </c>
      <c r="F479" s="115">
        <f>0</f>
        <v>0</v>
      </c>
      <c r="G479" s="55" t="s">
        <v>13</v>
      </c>
      <c r="H479" s="109">
        <f>0</f>
        <v>0</v>
      </c>
    </row>
    <row r="480" spans="1:8" ht="36" x14ac:dyDescent="0.25">
      <c r="A480" s="101"/>
      <c r="B480" s="87"/>
      <c r="C480" s="12" t="s">
        <v>843</v>
      </c>
      <c r="D480" s="12" t="s">
        <v>503</v>
      </c>
      <c r="E480" s="115">
        <f>0</f>
        <v>0</v>
      </c>
      <c r="F480" s="115">
        <f>0</f>
        <v>0</v>
      </c>
      <c r="G480" s="55" t="s">
        <v>13</v>
      </c>
      <c r="H480" s="109">
        <f>0</f>
        <v>0</v>
      </c>
    </row>
    <row r="481" spans="1:8" ht="60" x14ac:dyDescent="0.25">
      <c r="A481" s="101"/>
      <c r="B481" s="87"/>
      <c r="C481" s="12" t="s">
        <v>844</v>
      </c>
      <c r="D481" s="12" t="s">
        <v>504</v>
      </c>
      <c r="E481" s="115">
        <f>0</f>
        <v>0</v>
      </c>
      <c r="F481" s="115">
        <v>0</v>
      </c>
      <c r="G481" s="55" t="s">
        <v>13</v>
      </c>
      <c r="H481" s="109">
        <v>0</v>
      </c>
    </row>
    <row r="482" spans="1:8" ht="20.100000000000001" customHeight="1" thickBot="1" x14ac:dyDescent="0.3">
      <c r="A482" s="120" t="s">
        <v>22</v>
      </c>
      <c r="B482" s="121"/>
      <c r="C482" s="121"/>
      <c r="D482" s="122"/>
      <c r="E482" s="123">
        <f>E444+E457</f>
        <v>106201.75</v>
      </c>
      <c r="F482" s="123">
        <f>F444+F457</f>
        <v>66773.600000000006</v>
      </c>
      <c r="G482" s="84" t="s">
        <v>836</v>
      </c>
      <c r="H482" s="124">
        <f>H444+H457</f>
        <v>66773.600000000006</v>
      </c>
    </row>
    <row r="483" spans="1:8" ht="24" x14ac:dyDescent="0.25">
      <c r="A483" s="93">
        <v>16</v>
      </c>
      <c r="B483" s="94" t="s">
        <v>505</v>
      </c>
      <c r="C483" s="45" t="s">
        <v>11</v>
      </c>
      <c r="D483" s="45" t="s">
        <v>506</v>
      </c>
      <c r="E483" s="114">
        <f>E484+E487+E490</f>
        <v>0</v>
      </c>
      <c r="F483" s="114">
        <f>F484+F487+F490</f>
        <v>0</v>
      </c>
      <c r="G483" s="72" t="s">
        <v>13</v>
      </c>
      <c r="H483" s="107">
        <f>H484+H487+H490</f>
        <v>0</v>
      </c>
    </row>
    <row r="484" spans="1:8" ht="24" x14ac:dyDescent="0.25">
      <c r="A484" s="95"/>
      <c r="B484" s="96"/>
      <c r="C484" s="12" t="s">
        <v>26</v>
      </c>
      <c r="D484" s="12" t="s">
        <v>507</v>
      </c>
      <c r="E484" s="115">
        <f>E485+E486</f>
        <v>0</v>
      </c>
      <c r="F484" s="115">
        <f>F485+F486</f>
        <v>0</v>
      </c>
      <c r="G484" s="55" t="s">
        <v>13</v>
      </c>
      <c r="H484" s="109">
        <f>H485+H486</f>
        <v>0</v>
      </c>
    </row>
    <row r="485" spans="1:8" ht="36" x14ac:dyDescent="0.25">
      <c r="A485" s="95"/>
      <c r="B485" s="96"/>
      <c r="C485" s="12" t="s">
        <v>619</v>
      </c>
      <c r="D485" s="12" t="s">
        <v>508</v>
      </c>
      <c r="E485" s="115">
        <f>0</f>
        <v>0</v>
      </c>
      <c r="F485" s="115">
        <f>0</f>
        <v>0</v>
      </c>
      <c r="G485" s="55" t="s">
        <v>13</v>
      </c>
      <c r="H485" s="109">
        <f>0</f>
        <v>0</v>
      </c>
    </row>
    <row r="486" spans="1:8" ht="48" x14ac:dyDescent="0.25">
      <c r="A486" s="95"/>
      <c r="B486" s="96"/>
      <c r="C486" s="12" t="s">
        <v>620</v>
      </c>
      <c r="D486" s="12" t="s">
        <v>509</v>
      </c>
      <c r="E486" s="115">
        <f>0</f>
        <v>0</v>
      </c>
      <c r="F486" s="115">
        <f>0</f>
        <v>0</v>
      </c>
      <c r="G486" s="55" t="s">
        <v>13</v>
      </c>
      <c r="H486" s="109">
        <f>0</f>
        <v>0</v>
      </c>
    </row>
    <row r="487" spans="1:8" ht="24" x14ac:dyDescent="0.25">
      <c r="A487" s="95"/>
      <c r="B487" s="96"/>
      <c r="C487" s="12" t="s">
        <v>46</v>
      </c>
      <c r="D487" s="12" t="s">
        <v>510</v>
      </c>
      <c r="E487" s="115">
        <f>E488+E489</f>
        <v>0</v>
      </c>
      <c r="F487" s="115">
        <f>F488+F489</f>
        <v>0</v>
      </c>
      <c r="G487" s="55" t="s">
        <v>13</v>
      </c>
      <c r="H487" s="109">
        <f>H488+H489</f>
        <v>0</v>
      </c>
    </row>
    <row r="488" spans="1:8" ht="48" x14ac:dyDescent="0.25">
      <c r="A488" s="95"/>
      <c r="B488" s="96"/>
      <c r="C488" s="12" t="s">
        <v>627</v>
      </c>
      <c r="D488" s="12" t="s">
        <v>511</v>
      </c>
      <c r="E488" s="115">
        <f>0</f>
        <v>0</v>
      </c>
      <c r="F488" s="115">
        <f>0</f>
        <v>0</v>
      </c>
      <c r="G488" s="55" t="s">
        <v>13</v>
      </c>
      <c r="H488" s="109">
        <f>0</f>
        <v>0</v>
      </c>
    </row>
    <row r="489" spans="1:8" ht="60" x14ac:dyDescent="0.25">
      <c r="A489" s="95"/>
      <c r="B489" s="96"/>
      <c r="C489" s="12" t="s">
        <v>659</v>
      </c>
      <c r="D489" s="12" t="s">
        <v>512</v>
      </c>
      <c r="E489" s="115">
        <f>0</f>
        <v>0</v>
      </c>
      <c r="F489" s="115">
        <f>0</f>
        <v>0</v>
      </c>
      <c r="G489" s="55" t="s">
        <v>13</v>
      </c>
      <c r="H489" s="109">
        <f>0</f>
        <v>0</v>
      </c>
    </row>
    <row r="490" spans="1:8" ht="24" x14ac:dyDescent="0.25">
      <c r="A490" s="95"/>
      <c r="B490" s="96"/>
      <c r="C490" s="12" t="s">
        <v>14</v>
      </c>
      <c r="D490" s="12" t="s">
        <v>513</v>
      </c>
      <c r="E490" s="115">
        <f>E491+E492</f>
        <v>0</v>
      </c>
      <c r="F490" s="115">
        <f>F491+F492</f>
        <v>0</v>
      </c>
      <c r="G490" s="55" t="s">
        <v>13</v>
      </c>
      <c r="H490" s="109">
        <f>H491+H492</f>
        <v>0</v>
      </c>
    </row>
    <row r="491" spans="1:8" ht="24" x14ac:dyDescent="0.25">
      <c r="A491" s="95"/>
      <c r="B491" s="96"/>
      <c r="C491" s="12" t="s">
        <v>617</v>
      </c>
      <c r="D491" s="12" t="s">
        <v>514</v>
      </c>
      <c r="E491" s="115">
        <f>0</f>
        <v>0</v>
      </c>
      <c r="F491" s="115">
        <f>0</f>
        <v>0</v>
      </c>
      <c r="G491" s="55" t="s">
        <v>13</v>
      </c>
      <c r="H491" s="109">
        <f>0</f>
        <v>0</v>
      </c>
    </row>
    <row r="492" spans="1:8" ht="60" x14ac:dyDescent="0.25">
      <c r="A492" s="95"/>
      <c r="B492" s="96"/>
      <c r="C492" s="12" t="s">
        <v>618</v>
      </c>
      <c r="D492" s="12" t="s">
        <v>515</v>
      </c>
      <c r="E492" s="115">
        <f>0</f>
        <v>0</v>
      </c>
      <c r="F492" s="115">
        <f>0</f>
        <v>0</v>
      </c>
      <c r="G492" s="55" t="s">
        <v>13</v>
      </c>
      <c r="H492" s="109">
        <f>0</f>
        <v>0</v>
      </c>
    </row>
    <row r="493" spans="1:8" x14ac:dyDescent="0.25">
      <c r="A493" s="95"/>
      <c r="B493" s="96"/>
      <c r="C493" s="13" t="s">
        <v>24</v>
      </c>
      <c r="D493" s="13" t="s">
        <v>516</v>
      </c>
      <c r="E493" s="116">
        <f>E494+E496</f>
        <v>474</v>
      </c>
      <c r="F493" s="116">
        <f>F494+F496</f>
        <v>205.12</v>
      </c>
      <c r="G493" s="60" t="s">
        <v>845</v>
      </c>
      <c r="H493" s="111">
        <f>H494+H496</f>
        <v>205.12</v>
      </c>
    </row>
    <row r="494" spans="1:8" ht="36" x14ac:dyDescent="0.25">
      <c r="A494" s="95"/>
      <c r="B494" s="96"/>
      <c r="C494" s="12" t="s">
        <v>14</v>
      </c>
      <c r="D494" s="12" t="s">
        <v>517</v>
      </c>
      <c r="E494" s="115">
        <f>E495</f>
        <v>474</v>
      </c>
      <c r="F494" s="115">
        <f>F495</f>
        <v>205.12</v>
      </c>
      <c r="G494" s="55" t="s">
        <v>845</v>
      </c>
      <c r="H494" s="109">
        <f>H495</f>
        <v>205.12</v>
      </c>
    </row>
    <row r="495" spans="1:8" ht="120" x14ac:dyDescent="0.25">
      <c r="A495" s="95"/>
      <c r="B495" s="96"/>
      <c r="C495" s="12" t="s">
        <v>617</v>
      </c>
      <c r="D495" s="12" t="s">
        <v>518</v>
      </c>
      <c r="E495" s="115">
        <f>474</f>
        <v>474</v>
      </c>
      <c r="F495" s="115">
        <f>205.12</f>
        <v>205.12</v>
      </c>
      <c r="G495" s="55" t="s">
        <v>845</v>
      </c>
      <c r="H495" s="109">
        <f>205.12</f>
        <v>205.12</v>
      </c>
    </row>
    <row r="496" spans="1:8" ht="36" x14ac:dyDescent="0.25">
      <c r="A496" s="95"/>
      <c r="B496" s="96"/>
      <c r="C496" s="12" t="s">
        <v>116</v>
      </c>
      <c r="D496" s="12" t="s">
        <v>519</v>
      </c>
      <c r="E496" s="115">
        <f>E497</f>
        <v>0</v>
      </c>
      <c r="F496" s="115">
        <f>F497</f>
        <v>0</v>
      </c>
      <c r="G496" s="55" t="s">
        <v>13</v>
      </c>
      <c r="H496" s="109">
        <f>H497</f>
        <v>0</v>
      </c>
    </row>
    <row r="497" spans="1:8" ht="24" x14ac:dyDescent="0.25">
      <c r="A497" s="95"/>
      <c r="B497" s="96"/>
      <c r="C497" s="12" t="s">
        <v>751</v>
      </c>
      <c r="D497" s="12" t="s">
        <v>520</v>
      </c>
      <c r="E497" s="115">
        <f>0</f>
        <v>0</v>
      </c>
      <c r="F497" s="115">
        <f>0</f>
        <v>0</v>
      </c>
      <c r="G497" s="55" t="s">
        <v>13</v>
      </c>
      <c r="H497" s="109">
        <f>0</f>
        <v>0</v>
      </c>
    </row>
    <row r="498" spans="1:8" ht="24" x14ac:dyDescent="0.25">
      <c r="A498" s="95"/>
      <c r="B498" s="96"/>
      <c r="C498" s="13" t="s">
        <v>37</v>
      </c>
      <c r="D498" s="13" t="s">
        <v>50</v>
      </c>
      <c r="E498" s="116">
        <f>E499</f>
        <v>0</v>
      </c>
      <c r="F498" s="116">
        <f>F499</f>
        <v>0</v>
      </c>
      <c r="G498" s="60" t="s">
        <v>13</v>
      </c>
      <c r="H498" s="111">
        <f>H499</f>
        <v>0</v>
      </c>
    </row>
    <row r="499" spans="1:8" ht="24" x14ac:dyDescent="0.25">
      <c r="A499" s="95"/>
      <c r="B499" s="96"/>
      <c r="C499" s="12" t="s">
        <v>26</v>
      </c>
      <c r="D499" s="12" t="s">
        <v>51</v>
      </c>
      <c r="E499" s="115">
        <f>E500+E501</f>
        <v>0</v>
      </c>
      <c r="F499" s="115">
        <f>F500+F501</f>
        <v>0</v>
      </c>
      <c r="G499" s="55" t="s">
        <v>13</v>
      </c>
      <c r="H499" s="109">
        <f>H500+H501</f>
        <v>0</v>
      </c>
    </row>
    <row r="500" spans="1:8" ht="24" x14ac:dyDescent="0.25">
      <c r="A500" s="95"/>
      <c r="B500" s="96"/>
      <c r="C500" s="12" t="s">
        <v>619</v>
      </c>
      <c r="D500" s="12" t="s">
        <v>521</v>
      </c>
      <c r="E500" s="115">
        <f>0</f>
        <v>0</v>
      </c>
      <c r="F500" s="115">
        <f>0</f>
        <v>0</v>
      </c>
      <c r="G500" s="55" t="s">
        <v>13</v>
      </c>
      <c r="H500" s="109">
        <f>0</f>
        <v>0</v>
      </c>
    </row>
    <row r="501" spans="1:8" ht="24" x14ac:dyDescent="0.25">
      <c r="A501" s="95"/>
      <c r="B501" s="96"/>
      <c r="C501" s="12" t="s">
        <v>620</v>
      </c>
      <c r="D501" s="12" t="s">
        <v>522</v>
      </c>
      <c r="E501" s="115">
        <f>0</f>
        <v>0</v>
      </c>
      <c r="F501" s="115">
        <f>0</f>
        <v>0</v>
      </c>
      <c r="G501" s="55" t="s">
        <v>13</v>
      </c>
      <c r="H501" s="109">
        <f>0</f>
        <v>0</v>
      </c>
    </row>
    <row r="502" spans="1:8" ht="20.100000000000001" customHeight="1" thickBot="1" x14ac:dyDescent="0.3">
      <c r="A502" s="89" t="s">
        <v>22</v>
      </c>
      <c r="B502" s="90"/>
      <c r="C502" s="90"/>
      <c r="D502" s="90"/>
      <c r="E502" s="117">
        <f>E483+E493+E498</f>
        <v>474</v>
      </c>
      <c r="F502" s="117">
        <f>F483+F493+F498</f>
        <v>205.12</v>
      </c>
      <c r="G502" s="67" t="s">
        <v>845</v>
      </c>
      <c r="H502" s="113">
        <f>H483+H493+H498</f>
        <v>205.12</v>
      </c>
    </row>
    <row r="503" spans="1:8" x14ac:dyDescent="0.25">
      <c r="A503" s="93">
        <v>17</v>
      </c>
      <c r="B503" s="94" t="s">
        <v>523</v>
      </c>
      <c r="C503" s="45" t="s">
        <v>11</v>
      </c>
      <c r="D503" s="45" t="s">
        <v>524</v>
      </c>
      <c r="E503" s="114">
        <f>E504+E536</f>
        <v>255370.87</v>
      </c>
      <c r="F503" s="114">
        <f>F504+F536</f>
        <v>122301.37</v>
      </c>
      <c r="G503" s="72" t="s">
        <v>846</v>
      </c>
      <c r="H503" s="107">
        <f>H504+H536</f>
        <v>122301.37</v>
      </c>
    </row>
    <row r="504" spans="1:8" ht="24" x14ac:dyDescent="0.25">
      <c r="A504" s="95"/>
      <c r="B504" s="96"/>
      <c r="C504" s="12" t="s">
        <v>26</v>
      </c>
      <c r="D504" s="12" t="s">
        <v>525</v>
      </c>
      <c r="E504" s="115">
        <f>SUM(E505:E519)+E533+E534+E535</f>
        <v>67449.739999999991</v>
      </c>
      <c r="F504" s="115">
        <f>SUM(F505:F519)+F533+F534+F535</f>
        <v>19716.43</v>
      </c>
      <c r="G504" s="55" t="s">
        <v>847</v>
      </c>
      <c r="H504" s="109">
        <f>SUM(H505:H519)+H533+H534+H535</f>
        <v>19716.43</v>
      </c>
    </row>
    <row r="505" spans="1:8" ht="24" x14ac:dyDescent="0.25">
      <c r="A505" s="95"/>
      <c r="B505" s="96"/>
      <c r="C505" s="12" t="s">
        <v>619</v>
      </c>
      <c r="D505" s="12" t="s">
        <v>526</v>
      </c>
      <c r="E505" s="115">
        <f>0</f>
        <v>0</v>
      </c>
      <c r="F505" s="115">
        <f>0</f>
        <v>0</v>
      </c>
      <c r="G505" s="55" t="s">
        <v>13</v>
      </c>
      <c r="H505" s="109">
        <f>0</f>
        <v>0</v>
      </c>
    </row>
    <row r="506" spans="1:8" ht="24" x14ac:dyDescent="0.25">
      <c r="A506" s="95"/>
      <c r="B506" s="96"/>
      <c r="C506" s="12" t="s">
        <v>620</v>
      </c>
      <c r="D506" s="12" t="s">
        <v>527</v>
      </c>
      <c r="E506" s="115">
        <f>0</f>
        <v>0</v>
      </c>
      <c r="F506" s="115">
        <f>0</f>
        <v>0</v>
      </c>
      <c r="G506" s="55" t="s">
        <v>13</v>
      </c>
      <c r="H506" s="109">
        <f>0</f>
        <v>0</v>
      </c>
    </row>
    <row r="507" spans="1:8" ht="24" x14ac:dyDescent="0.25">
      <c r="A507" s="95"/>
      <c r="B507" s="96"/>
      <c r="C507" s="12" t="s">
        <v>656</v>
      </c>
      <c r="D507" s="12" t="s">
        <v>528</v>
      </c>
      <c r="E507" s="115">
        <f>0</f>
        <v>0</v>
      </c>
      <c r="F507" s="115">
        <f>0</f>
        <v>0</v>
      </c>
      <c r="G507" s="55" t="s">
        <v>13</v>
      </c>
      <c r="H507" s="109">
        <f>0</f>
        <v>0</v>
      </c>
    </row>
    <row r="508" spans="1:8" ht="24" x14ac:dyDescent="0.25">
      <c r="A508" s="95"/>
      <c r="B508" s="96"/>
      <c r="C508" s="12" t="s">
        <v>621</v>
      </c>
      <c r="D508" s="12" t="s">
        <v>529</v>
      </c>
      <c r="E508" s="115">
        <f>0</f>
        <v>0</v>
      </c>
      <c r="F508" s="115">
        <f>0</f>
        <v>0</v>
      </c>
      <c r="G508" s="55" t="s">
        <v>13</v>
      </c>
      <c r="H508" s="109">
        <f>0</f>
        <v>0</v>
      </c>
    </row>
    <row r="509" spans="1:8" ht="24" x14ac:dyDescent="0.25">
      <c r="A509" s="95"/>
      <c r="B509" s="96"/>
      <c r="C509" s="12" t="s">
        <v>622</v>
      </c>
      <c r="D509" s="12" t="s">
        <v>530</v>
      </c>
      <c r="E509" s="115">
        <f>0</f>
        <v>0</v>
      </c>
      <c r="F509" s="115">
        <f>0</f>
        <v>0</v>
      </c>
      <c r="G509" s="55" t="s">
        <v>13</v>
      </c>
      <c r="H509" s="109">
        <f>0</f>
        <v>0</v>
      </c>
    </row>
    <row r="510" spans="1:8" ht="24" x14ac:dyDescent="0.25">
      <c r="A510" s="95"/>
      <c r="B510" s="96"/>
      <c r="C510" s="12" t="s">
        <v>666</v>
      </c>
      <c r="D510" s="12" t="s">
        <v>531</v>
      </c>
      <c r="E510" s="115">
        <f>0</f>
        <v>0</v>
      </c>
      <c r="F510" s="115">
        <f>0</f>
        <v>0</v>
      </c>
      <c r="G510" s="55" t="s">
        <v>13</v>
      </c>
      <c r="H510" s="109">
        <f>0</f>
        <v>0</v>
      </c>
    </row>
    <row r="511" spans="1:8" ht="36" x14ac:dyDescent="0.25">
      <c r="A511" s="95"/>
      <c r="B511" s="96"/>
      <c r="C511" s="12" t="s">
        <v>623</v>
      </c>
      <c r="D511" s="12" t="s">
        <v>532</v>
      </c>
      <c r="E511" s="115">
        <f>0</f>
        <v>0</v>
      </c>
      <c r="F511" s="115">
        <f>0</f>
        <v>0</v>
      </c>
      <c r="G511" s="55" t="s">
        <v>13</v>
      </c>
      <c r="H511" s="109">
        <f>0</f>
        <v>0</v>
      </c>
    </row>
    <row r="512" spans="1:8" ht="24" x14ac:dyDescent="0.25">
      <c r="A512" s="95"/>
      <c r="B512" s="96"/>
      <c r="C512" s="12" t="s">
        <v>667</v>
      </c>
      <c r="D512" s="12" t="s">
        <v>533</v>
      </c>
      <c r="E512" s="115">
        <f>0</f>
        <v>0</v>
      </c>
      <c r="F512" s="115">
        <f>0</f>
        <v>0</v>
      </c>
      <c r="G512" s="55" t="s">
        <v>13</v>
      </c>
      <c r="H512" s="109">
        <f>0</f>
        <v>0</v>
      </c>
    </row>
    <row r="513" spans="1:8" ht="24" x14ac:dyDescent="0.25">
      <c r="A513" s="95"/>
      <c r="B513" s="96"/>
      <c r="C513" s="12" t="s">
        <v>668</v>
      </c>
      <c r="D513" s="12" t="s">
        <v>534</v>
      </c>
      <c r="E513" s="115">
        <f>0</f>
        <v>0</v>
      </c>
      <c r="F513" s="115">
        <f>0</f>
        <v>0</v>
      </c>
      <c r="G513" s="55" t="s">
        <v>13</v>
      </c>
      <c r="H513" s="109">
        <f>0</f>
        <v>0</v>
      </c>
    </row>
    <row r="514" spans="1:8" ht="36" x14ac:dyDescent="0.25">
      <c r="A514" s="95"/>
      <c r="B514" s="96"/>
      <c r="C514" s="12" t="s">
        <v>747</v>
      </c>
      <c r="D514" s="12" t="s">
        <v>535</v>
      </c>
      <c r="E514" s="115">
        <f>0</f>
        <v>0</v>
      </c>
      <c r="F514" s="115">
        <f>0</f>
        <v>0</v>
      </c>
      <c r="G514" s="55" t="s">
        <v>13</v>
      </c>
      <c r="H514" s="109">
        <f>0</f>
        <v>0</v>
      </c>
    </row>
    <row r="515" spans="1:8" ht="36" x14ac:dyDescent="0.25">
      <c r="A515" s="95"/>
      <c r="B515" s="96"/>
      <c r="C515" s="12" t="s">
        <v>870</v>
      </c>
      <c r="D515" s="12" t="s">
        <v>536</v>
      </c>
      <c r="E515" s="115">
        <f>0</f>
        <v>0</v>
      </c>
      <c r="F515" s="115">
        <f>0</f>
        <v>0</v>
      </c>
      <c r="G515" s="55" t="s">
        <v>13</v>
      </c>
      <c r="H515" s="109">
        <f>0</f>
        <v>0</v>
      </c>
    </row>
    <row r="516" spans="1:8" ht="36" x14ac:dyDescent="0.25">
      <c r="A516" s="95"/>
      <c r="B516" s="96"/>
      <c r="C516" s="12" t="s">
        <v>871</v>
      </c>
      <c r="D516" s="12" t="s">
        <v>537</v>
      </c>
      <c r="E516" s="115">
        <f>0</f>
        <v>0</v>
      </c>
      <c r="F516" s="115">
        <f>0</f>
        <v>0</v>
      </c>
      <c r="G516" s="55" t="s">
        <v>13</v>
      </c>
      <c r="H516" s="109">
        <f>0</f>
        <v>0</v>
      </c>
    </row>
    <row r="517" spans="1:8" ht="36" x14ac:dyDescent="0.25">
      <c r="A517" s="95"/>
      <c r="B517" s="96"/>
      <c r="C517" s="12" t="s">
        <v>872</v>
      </c>
      <c r="D517" s="12" t="s">
        <v>538</v>
      </c>
      <c r="E517" s="115">
        <f>0</f>
        <v>0</v>
      </c>
      <c r="F517" s="115">
        <f>0</f>
        <v>0</v>
      </c>
      <c r="G517" s="55" t="s">
        <v>13</v>
      </c>
      <c r="H517" s="109">
        <f>0</f>
        <v>0</v>
      </c>
    </row>
    <row r="518" spans="1:8" x14ac:dyDescent="0.25">
      <c r="A518" s="95"/>
      <c r="B518" s="96"/>
      <c r="C518" s="12" t="s">
        <v>873</v>
      </c>
      <c r="D518" s="12" t="s">
        <v>539</v>
      </c>
      <c r="E518" s="115">
        <f>9318.26</f>
        <v>9318.26</v>
      </c>
      <c r="F518" s="115">
        <f>7228.83</f>
        <v>7228.83</v>
      </c>
      <c r="G518" s="55" t="s">
        <v>848</v>
      </c>
      <c r="H518" s="109">
        <f>7228.83</f>
        <v>7228.83</v>
      </c>
    </row>
    <row r="519" spans="1:8" x14ac:dyDescent="0.25">
      <c r="A519" s="95"/>
      <c r="B519" s="96"/>
      <c r="C519" s="12" t="s">
        <v>874</v>
      </c>
      <c r="D519" s="12" t="s">
        <v>540</v>
      </c>
      <c r="E519" s="115">
        <f>SUM(E520:E532)</f>
        <v>43131.479999999996</v>
      </c>
      <c r="F519" s="115">
        <f>SUM(F520:F532)</f>
        <v>5971.33</v>
      </c>
      <c r="G519" s="55" t="s">
        <v>849</v>
      </c>
      <c r="H519" s="109">
        <f>SUM(H520:H532)</f>
        <v>5971.33</v>
      </c>
    </row>
    <row r="520" spans="1:8" ht="24" x14ac:dyDescent="0.25">
      <c r="A520" s="95"/>
      <c r="B520" s="96"/>
      <c r="C520" s="12" t="s">
        <v>875</v>
      </c>
      <c r="D520" s="12" t="s">
        <v>541</v>
      </c>
      <c r="E520" s="115">
        <f>0</f>
        <v>0</v>
      </c>
      <c r="F520" s="115">
        <f>0</f>
        <v>0</v>
      </c>
      <c r="G520" s="55" t="s">
        <v>13</v>
      </c>
      <c r="H520" s="109">
        <f>0</f>
        <v>0</v>
      </c>
    </row>
    <row r="521" spans="1:8" ht="24" x14ac:dyDescent="0.25">
      <c r="A521" s="95"/>
      <c r="B521" s="96"/>
      <c r="C521" s="12" t="s">
        <v>876</v>
      </c>
      <c r="D521" s="12" t="s">
        <v>542</v>
      </c>
      <c r="E521" s="115">
        <f>2504.92</f>
        <v>2504.92</v>
      </c>
      <c r="F521" s="115">
        <f>1001.92</f>
        <v>1001.92</v>
      </c>
      <c r="G521" s="55" t="s">
        <v>634</v>
      </c>
      <c r="H521" s="109">
        <f>1001.92</f>
        <v>1001.92</v>
      </c>
    </row>
    <row r="522" spans="1:8" ht="36" x14ac:dyDescent="0.25">
      <c r="A522" s="95"/>
      <c r="B522" s="96"/>
      <c r="C522" s="12" t="s">
        <v>877</v>
      </c>
      <c r="D522" s="12" t="s">
        <v>543</v>
      </c>
      <c r="E522" s="115">
        <f>10000</f>
        <v>10000</v>
      </c>
      <c r="F522" s="115">
        <f>0</f>
        <v>0</v>
      </c>
      <c r="G522" s="55" t="s">
        <v>59</v>
      </c>
      <c r="H522" s="109">
        <f>0</f>
        <v>0</v>
      </c>
    </row>
    <row r="523" spans="1:8" ht="24" x14ac:dyDescent="0.25">
      <c r="A523" s="95"/>
      <c r="B523" s="96"/>
      <c r="C523" s="12" t="s">
        <v>878</v>
      </c>
      <c r="D523" s="12" t="s">
        <v>544</v>
      </c>
      <c r="E523" s="115">
        <f>100</f>
        <v>100</v>
      </c>
      <c r="F523" s="115">
        <f>100</f>
        <v>100</v>
      </c>
      <c r="G523" s="55" t="s">
        <v>719</v>
      </c>
      <c r="H523" s="109">
        <f>100</f>
        <v>100</v>
      </c>
    </row>
    <row r="524" spans="1:8" x14ac:dyDescent="0.25">
      <c r="A524" s="95"/>
      <c r="B524" s="96"/>
      <c r="C524" s="12" t="s">
        <v>879</v>
      </c>
      <c r="D524" s="12" t="s">
        <v>545</v>
      </c>
      <c r="E524" s="115">
        <f>1402.5</f>
        <v>1402.5</v>
      </c>
      <c r="F524" s="115">
        <f>1402.5</f>
        <v>1402.5</v>
      </c>
      <c r="G524" s="55" t="s">
        <v>719</v>
      </c>
      <c r="H524" s="109">
        <f>1402.5</f>
        <v>1402.5</v>
      </c>
    </row>
    <row r="525" spans="1:8" ht="24" x14ac:dyDescent="0.25">
      <c r="A525" s="95"/>
      <c r="B525" s="96"/>
      <c r="C525" s="12" t="s">
        <v>880</v>
      </c>
      <c r="D525" s="12" t="s">
        <v>546</v>
      </c>
      <c r="E525" s="115">
        <f>0</f>
        <v>0</v>
      </c>
      <c r="F525" s="115">
        <f>0</f>
        <v>0</v>
      </c>
      <c r="G525" s="55" t="s">
        <v>13</v>
      </c>
      <c r="H525" s="109">
        <f>0</f>
        <v>0</v>
      </c>
    </row>
    <row r="526" spans="1:8" ht="36" x14ac:dyDescent="0.25">
      <c r="A526" s="95"/>
      <c r="B526" s="96"/>
      <c r="C526" s="12" t="s">
        <v>881</v>
      </c>
      <c r="D526" s="12" t="s">
        <v>547</v>
      </c>
      <c r="E526" s="115">
        <f>601.56</f>
        <v>601.55999999999995</v>
      </c>
      <c r="F526" s="115">
        <f>339.21</f>
        <v>339.21</v>
      </c>
      <c r="G526" s="55" t="s">
        <v>850</v>
      </c>
      <c r="H526" s="109">
        <f>339.21</f>
        <v>339.21</v>
      </c>
    </row>
    <row r="527" spans="1:8" ht="24" x14ac:dyDescent="0.25">
      <c r="A527" s="95"/>
      <c r="B527" s="96"/>
      <c r="C527" s="12" t="s">
        <v>882</v>
      </c>
      <c r="D527" s="12" t="s">
        <v>548</v>
      </c>
      <c r="E527" s="115">
        <f>0</f>
        <v>0</v>
      </c>
      <c r="F527" s="115">
        <f>0</f>
        <v>0</v>
      </c>
      <c r="G527" s="55" t="s">
        <v>13</v>
      </c>
      <c r="H527" s="109">
        <f>0</f>
        <v>0</v>
      </c>
    </row>
    <row r="528" spans="1:8" ht="24" x14ac:dyDescent="0.25">
      <c r="A528" s="95"/>
      <c r="B528" s="96"/>
      <c r="C528" s="12" t="s">
        <v>883</v>
      </c>
      <c r="D528" s="12" t="s">
        <v>549</v>
      </c>
      <c r="E528" s="115">
        <f>20225</f>
        <v>20225</v>
      </c>
      <c r="F528" s="115">
        <f>3127.7</f>
        <v>3127.7</v>
      </c>
      <c r="G528" s="55" t="s">
        <v>851</v>
      </c>
      <c r="H528" s="109">
        <f>3127.7</f>
        <v>3127.7</v>
      </c>
    </row>
    <row r="529" spans="1:8" ht="48" x14ac:dyDescent="0.25">
      <c r="A529" s="95"/>
      <c r="B529" s="96"/>
      <c r="C529" s="12" t="s">
        <v>884</v>
      </c>
      <c r="D529" s="12" t="s">
        <v>550</v>
      </c>
      <c r="E529" s="115">
        <f>4500</f>
        <v>4500</v>
      </c>
      <c r="F529" s="115">
        <f>0</f>
        <v>0</v>
      </c>
      <c r="G529" s="55" t="s">
        <v>59</v>
      </c>
      <c r="H529" s="109">
        <f>0</f>
        <v>0</v>
      </c>
    </row>
    <row r="530" spans="1:8" ht="36" x14ac:dyDescent="0.25">
      <c r="A530" s="95"/>
      <c r="B530" s="96"/>
      <c r="C530" s="12" t="s">
        <v>885</v>
      </c>
      <c r="D530" s="12" t="s">
        <v>551</v>
      </c>
      <c r="E530" s="115">
        <f>297.5</f>
        <v>297.5</v>
      </c>
      <c r="F530" s="115">
        <f>0</f>
        <v>0</v>
      </c>
      <c r="G530" s="55" t="s">
        <v>59</v>
      </c>
      <c r="H530" s="109">
        <f>0</f>
        <v>0</v>
      </c>
    </row>
    <row r="531" spans="1:8" ht="24" x14ac:dyDescent="0.25">
      <c r="A531" s="95"/>
      <c r="B531" s="96"/>
      <c r="C531" s="12" t="s">
        <v>886</v>
      </c>
      <c r="D531" s="12" t="s">
        <v>852</v>
      </c>
      <c r="E531" s="115">
        <f>3500</f>
        <v>3500</v>
      </c>
      <c r="F531" s="115">
        <f>0</f>
        <v>0</v>
      </c>
      <c r="G531" s="55" t="s">
        <v>59</v>
      </c>
      <c r="H531" s="109">
        <f>0</f>
        <v>0</v>
      </c>
    </row>
    <row r="532" spans="1:8" ht="24" x14ac:dyDescent="0.25">
      <c r="A532" s="95"/>
      <c r="B532" s="96"/>
      <c r="C532" s="12" t="s">
        <v>887</v>
      </c>
      <c r="D532" s="12" t="s">
        <v>853</v>
      </c>
      <c r="E532" s="115">
        <f>0</f>
        <v>0</v>
      </c>
      <c r="F532" s="115">
        <f>0</f>
        <v>0</v>
      </c>
      <c r="G532" s="55" t="s">
        <v>13</v>
      </c>
      <c r="H532" s="109">
        <f>0</f>
        <v>0</v>
      </c>
    </row>
    <row r="533" spans="1:8" x14ac:dyDescent="0.25">
      <c r="A533" s="95"/>
      <c r="B533" s="96"/>
      <c r="C533" s="12" t="s">
        <v>888</v>
      </c>
      <c r="D533" s="12" t="s">
        <v>552</v>
      </c>
      <c r="E533" s="115">
        <f>15000</f>
        <v>15000</v>
      </c>
      <c r="F533" s="115">
        <f>6516.27</f>
        <v>6516.27</v>
      </c>
      <c r="G533" s="55" t="s">
        <v>854</v>
      </c>
      <c r="H533" s="109">
        <f>6516.27</f>
        <v>6516.27</v>
      </c>
    </row>
    <row r="534" spans="1:8" ht="24" x14ac:dyDescent="0.25">
      <c r="A534" s="95"/>
      <c r="B534" s="96"/>
      <c r="C534" s="12" t="s">
        <v>889</v>
      </c>
      <c r="D534" s="12" t="s">
        <v>553</v>
      </c>
      <c r="E534" s="115">
        <f>0</f>
        <v>0</v>
      </c>
      <c r="F534" s="115">
        <f>0</f>
        <v>0</v>
      </c>
      <c r="G534" s="55" t="s">
        <v>13</v>
      </c>
      <c r="H534" s="109">
        <f>0</f>
        <v>0</v>
      </c>
    </row>
    <row r="535" spans="1:8" ht="24" x14ac:dyDescent="0.25">
      <c r="A535" s="95"/>
      <c r="B535" s="96"/>
      <c r="C535" s="12" t="s">
        <v>890</v>
      </c>
      <c r="D535" s="12" t="s">
        <v>554</v>
      </c>
      <c r="E535" s="115">
        <f>0</f>
        <v>0</v>
      </c>
      <c r="F535" s="115">
        <f>0</f>
        <v>0</v>
      </c>
      <c r="G535" s="55" t="s">
        <v>13</v>
      </c>
      <c r="H535" s="109">
        <f>0</f>
        <v>0</v>
      </c>
    </row>
    <row r="536" spans="1:8" x14ac:dyDescent="0.25">
      <c r="A536" s="95"/>
      <c r="B536" s="96"/>
      <c r="C536" s="12" t="s">
        <v>555</v>
      </c>
      <c r="D536" s="12" t="s">
        <v>556</v>
      </c>
      <c r="E536" s="115">
        <f>E537+E538+E539+E542+E543+E544+E545+E546+E549+E550+E551+E552+E553+E554+E555+E556+E557+E558+E559</f>
        <v>187921.13</v>
      </c>
      <c r="F536" s="115">
        <f>F537+F538+F539+F542+F543+F544+F545+F546+F549+F550+F551+F552+F553+F554+F555+F556+F557+F558+F559</f>
        <v>102584.94</v>
      </c>
      <c r="G536" s="55" t="s">
        <v>855</v>
      </c>
      <c r="H536" s="109">
        <f>H537+H538+H539+H542+H543+H544+H545+H546+H549+H550+H551+H552+H553+H554+H555+H556+H557+H558+H559</f>
        <v>102584.94</v>
      </c>
    </row>
    <row r="537" spans="1:8" ht="24" x14ac:dyDescent="0.25">
      <c r="A537" s="95"/>
      <c r="B537" s="96"/>
      <c r="C537" s="12" t="s">
        <v>891</v>
      </c>
      <c r="D537" s="12" t="s">
        <v>557</v>
      </c>
      <c r="E537" s="115">
        <f>0</f>
        <v>0</v>
      </c>
      <c r="F537" s="115">
        <f>0</f>
        <v>0</v>
      </c>
      <c r="G537" s="55" t="s">
        <v>13</v>
      </c>
      <c r="H537" s="109">
        <f>0</f>
        <v>0</v>
      </c>
    </row>
    <row r="538" spans="1:8" ht="48" x14ac:dyDescent="0.25">
      <c r="A538" s="95"/>
      <c r="B538" s="96"/>
      <c r="C538" s="12" t="s">
        <v>892</v>
      </c>
      <c r="D538" s="12" t="s">
        <v>558</v>
      </c>
      <c r="E538" s="115">
        <f>0</f>
        <v>0</v>
      </c>
      <c r="F538" s="115">
        <f>0</f>
        <v>0</v>
      </c>
      <c r="G538" s="55" t="s">
        <v>13</v>
      </c>
      <c r="H538" s="109">
        <f>0</f>
        <v>0</v>
      </c>
    </row>
    <row r="539" spans="1:8" ht="24" x14ac:dyDescent="0.25">
      <c r="A539" s="95"/>
      <c r="B539" s="96"/>
      <c r="C539" s="12" t="s">
        <v>893</v>
      </c>
      <c r="D539" s="12" t="s">
        <v>559</v>
      </c>
      <c r="E539" s="115">
        <f>E540+E541</f>
        <v>168425.25</v>
      </c>
      <c r="F539" s="115">
        <f>F540+F541</f>
        <v>100790.90000000001</v>
      </c>
      <c r="G539" s="55" t="s">
        <v>788</v>
      </c>
      <c r="H539" s="109">
        <f>H540+H541</f>
        <v>100790.90000000001</v>
      </c>
    </row>
    <row r="540" spans="1:8" ht="24" x14ac:dyDescent="0.25">
      <c r="A540" s="95"/>
      <c r="B540" s="96"/>
      <c r="C540" s="12" t="s">
        <v>894</v>
      </c>
      <c r="D540" s="12" t="s">
        <v>856</v>
      </c>
      <c r="E540" s="115">
        <f>1684.26+41685.25+125055.74</f>
        <v>168425.25</v>
      </c>
      <c r="F540" s="115">
        <f>1007.91+24945.75+74837.24</f>
        <v>100790.90000000001</v>
      </c>
      <c r="G540" s="55" t="s">
        <v>788</v>
      </c>
      <c r="H540" s="109">
        <f>1007.91+24945.75+74837.24</f>
        <v>100790.90000000001</v>
      </c>
    </row>
    <row r="541" spans="1:8" ht="24" x14ac:dyDescent="0.25">
      <c r="A541" s="95"/>
      <c r="B541" s="96"/>
      <c r="C541" s="12" t="s">
        <v>895</v>
      </c>
      <c r="D541" s="12" t="s">
        <v>857</v>
      </c>
      <c r="E541" s="115">
        <f>0</f>
        <v>0</v>
      </c>
      <c r="F541" s="115">
        <f>0</f>
        <v>0</v>
      </c>
      <c r="G541" s="55" t="s">
        <v>13</v>
      </c>
      <c r="H541" s="109">
        <f>0</f>
        <v>0</v>
      </c>
    </row>
    <row r="542" spans="1:8" ht="36" x14ac:dyDescent="0.25">
      <c r="A542" s="95"/>
      <c r="B542" s="96"/>
      <c r="C542" s="12" t="s">
        <v>896</v>
      </c>
      <c r="D542" s="12" t="s">
        <v>560</v>
      </c>
      <c r="E542" s="115">
        <f>0</f>
        <v>0</v>
      </c>
      <c r="F542" s="115">
        <f>0</f>
        <v>0</v>
      </c>
      <c r="G542" s="55" t="s">
        <v>13</v>
      </c>
      <c r="H542" s="109">
        <f>0</f>
        <v>0</v>
      </c>
    </row>
    <row r="543" spans="1:8" ht="36" x14ac:dyDescent="0.25">
      <c r="A543" s="95"/>
      <c r="B543" s="96"/>
      <c r="C543" s="12" t="s">
        <v>897</v>
      </c>
      <c r="D543" s="12" t="s">
        <v>561</v>
      </c>
      <c r="E543" s="115">
        <f>0</f>
        <v>0</v>
      </c>
      <c r="F543" s="115">
        <f>0</f>
        <v>0</v>
      </c>
      <c r="G543" s="55" t="s">
        <v>13</v>
      </c>
      <c r="H543" s="109">
        <f>0</f>
        <v>0</v>
      </c>
    </row>
    <row r="544" spans="1:8" ht="36" x14ac:dyDescent="0.25">
      <c r="A544" s="95"/>
      <c r="B544" s="96"/>
      <c r="C544" s="12" t="s">
        <v>898</v>
      </c>
      <c r="D544" s="12" t="s">
        <v>562</v>
      </c>
      <c r="E544" s="115">
        <f>0</f>
        <v>0</v>
      </c>
      <c r="F544" s="115">
        <f>0</f>
        <v>0</v>
      </c>
      <c r="G544" s="55" t="s">
        <v>13</v>
      </c>
      <c r="H544" s="109">
        <f>0</f>
        <v>0</v>
      </c>
    </row>
    <row r="545" spans="1:8" ht="36" x14ac:dyDescent="0.25">
      <c r="A545" s="95"/>
      <c r="B545" s="96"/>
      <c r="C545" s="12" t="s">
        <v>899</v>
      </c>
      <c r="D545" s="12" t="s">
        <v>563</v>
      </c>
      <c r="E545" s="115">
        <f>0</f>
        <v>0</v>
      </c>
      <c r="F545" s="115">
        <f>0</f>
        <v>0</v>
      </c>
      <c r="G545" s="55" t="s">
        <v>13</v>
      </c>
      <c r="H545" s="109">
        <f>0</f>
        <v>0</v>
      </c>
    </row>
    <row r="546" spans="1:8" x14ac:dyDescent="0.25">
      <c r="A546" s="95"/>
      <c r="B546" s="96"/>
      <c r="C546" s="12" t="s">
        <v>900</v>
      </c>
      <c r="D546" s="12" t="s">
        <v>564</v>
      </c>
      <c r="E546" s="115">
        <f>E547+E548</f>
        <v>19495.879999999997</v>
      </c>
      <c r="F546" s="115">
        <f>F547+F548</f>
        <v>1794.04</v>
      </c>
      <c r="G546" s="55" t="s">
        <v>858</v>
      </c>
      <c r="H546" s="109">
        <f>H547+H548</f>
        <v>1794.04</v>
      </c>
    </row>
    <row r="547" spans="1:8" ht="36" x14ac:dyDescent="0.25">
      <c r="A547" s="95"/>
      <c r="B547" s="96"/>
      <c r="C547" s="12" t="s">
        <v>901</v>
      </c>
      <c r="D547" s="12" t="s">
        <v>859</v>
      </c>
      <c r="E547" s="115">
        <f>1828.19+7177.62</f>
        <v>9005.81</v>
      </c>
      <c r="F547" s="115">
        <f>1794.04</f>
        <v>1794.04</v>
      </c>
      <c r="G547" s="55" t="s">
        <v>860</v>
      </c>
      <c r="H547" s="109">
        <f>1794.04</f>
        <v>1794.04</v>
      </c>
    </row>
    <row r="548" spans="1:8" ht="24" x14ac:dyDescent="0.25">
      <c r="A548" s="95"/>
      <c r="B548" s="96"/>
      <c r="C548" s="12" t="s">
        <v>902</v>
      </c>
      <c r="D548" s="12" t="s">
        <v>861</v>
      </c>
      <c r="E548" s="115">
        <f>2129.5+8360.57</f>
        <v>10490.07</v>
      </c>
      <c r="F548" s="115">
        <f>0</f>
        <v>0</v>
      </c>
      <c r="G548" s="55" t="s">
        <v>59</v>
      </c>
      <c r="H548" s="109">
        <f>0</f>
        <v>0</v>
      </c>
    </row>
    <row r="549" spans="1:8" ht="24" x14ac:dyDescent="0.25">
      <c r="A549" s="95"/>
      <c r="B549" s="96"/>
      <c r="C549" s="12" t="s">
        <v>903</v>
      </c>
      <c r="D549" s="12" t="s">
        <v>565</v>
      </c>
      <c r="E549" s="115">
        <f>0</f>
        <v>0</v>
      </c>
      <c r="F549" s="115">
        <f>0</f>
        <v>0</v>
      </c>
      <c r="G549" s="55" t="s">
        <v>13</v>
      </c>
      <c r="H549" s="109">
        <f>0</f>
        <v>0</v>
      </c>
    </row>
    <row r="550" spans="1:8" ht="36" x14ac:dyDescent="0.25">
      <c r="A550" s="95"/>
      <c r="B550" s="96"/>
      <c r="C550" s="12" t="s">
        <v>904</v>
      </c>
      <c r="D550" s="12" t="s">
        <v>566</v>
      </c>
      <c r="E550" s="115">
        <f>0</f>
        <v>0</v>
      </c>
      <c r="F550" s="115">
        <f>0</f>
        <v>0</v>
      </c>
      <c r="G550" s="55" t="s">
        <v>13</v>
      </c>
      <c r="H550" s="109">
        <f>0</f>
        <v>0</v>
      </c>
    </row>
    <row r="551" spans="1:8" ht="24" x14ac:dyDescent="0.25">
      <c r="A551" s="95"/>
      <c r="B551" s="96"/>
      <c r="C551" s="12" t="s">
        <v>905</v>
      </c>
      <c r="D551" s="12" t="s">
        <v>567</v>
      </c>
      <c r="E551" s="115">
        <f>0</f>
        <v>0</v>
      </c>
      <c r="F551" s="115">
        <f>0</f>
        <v>0</v>
      </c>
      <c r="G551" s="55" t="s">
        <v>13</v>
      </c>
      <c r="H551" s="109">
        <f>0</f>
        <v>0</v>
      </c>
    </row>
    <row r="552" spans="1:8" ht="24" x14ac:dyDescent="0.25">
      <c r="A552" s="95"/>
      <c r="B552" s="96"/>
      <c r="C552" s="12" t="s">
        <v>906</v>
      </c>
      <c r="D552" s="12" t="s">
        <v>568</v>
      </c>
      <c r="E552" s="115">
        <f>0</f>
        <v>0</v>
      </c>
      <c r="F552" s="115">
        <f>0</f>
        <v>0</v>
      </c>
      <c r="G552" s="55" t="s">
        <v>13</v>
      </c>
      <c r="H552" s="109">
        <f>0</f>
        <v>0</v>
      </c>
    </row>
    <row r="553" spans="1:8" ht="24" x14ac:dyDescent="0.25">
      <c r="A553" s="95"/>
      <c r="B553" s="96"/>
      <c r="C553" s="12" t="s">
        <v>907</v>
      </c>
      <c r="D553" s="12" t="s">
        <v>569</v>
      </c>
      <c r="E553" s="115">
        <f>0</f>
        <v>0</v>
      </c>
      <c r="F553" s="115">
        <f>0</f>
        <v>0</v>
      </c>
      <c r="G553" s="55" t="s">
        <v>13</v>
      </c>
      <c r="H553" s="109">
        <f>0</f>
        <v>0</v>
      </c>
    </row>
    <row r="554" spans="1:8" ht="24" x14ac:dyDescent="0.25">
      <c r="A554" s="95"/>
      <c r="B554" s="96"/>
      <c r="C554" s="12" t="s">
        <v>908</v>
      </c>
      <c r="D554" s="12" t="s">
        <v>540</v>
      </c>
      <c r="E554" s="115">
        <f>0</f>
        <v>0</v>
      </c>
      <c r="F554" s="115">
        <f>0</f>
        <v>0</v>
      </c>
      <c r="G554" s="55" t="s">
        <v>13</v>
      </c>
      <c r="H554" s="109">
        <f>0</f>
        <v>0</v>
      </c>
    </row>
    <row r="555" spans="1:8" ht="24" x14ac:dyDescent="0.25">
      <c r="A555" s="95"/>
      <c r="B555" s="96"/>
      <c r="C555" s="12" t="s">
        <v>909</v>
      </c>
      <c r="D555" s="12" t="s">
        <v>570</v>
      </c>
      <c r="E555" s="115">
        <f>0</f>
        <v>0</v>
      </c>
      <c r="F555" s="115">
        <f>0</f>
        <v>0</v>
      </c>
      <c r="G555" s="55" t="s">
        <v>13</v>
      </c>
      <c r="H555" s="109">
        <f>0</f>
        <v>0</v>
      </c>
    </row>
    <row r="556" spans="1:8" ht="24" x14ac:dyDescent="0.25">
      <c r="A556" s="95"/>
      <c r="B556" s="96"/>
      <c r="C556" s="12" t="s">
        <v>910</v>
      </c>
      <c r="D556" s="12" t="s">
        <v>571</v>
      </c>
      <c r="E556" s="115">
        <f>0</f>
        <v>0</v>
      </c>
      <c r="F556" s="115">
        <f>0</f>
        <v>0</v>
      </c>
      <c r="G556" s="55" t="s">
        <v>13</v>
      </c>
      <c r="H556" s="109">
        <f>0</f>
        <v>0</v>
      </c>
    </row>
    <row r="557" spans="1:8" ht="24" x14ac:dyDescent="0.25">
      <c r="A557" s="95"/>
      <c r="B557" s="96"/>
      <c r="C557" s="12" t="s">
        <v>911</v>
      </c>
      <c r="D557" s="12" t="s">
        <v>572</v>
      </c>
      <c r="E557" s="115">
        <f>0</f>
        <v>0</v>
      </c>
      <c r="F557" s="115">
        <f>0</f>
        <v>0</v>
      </c>
      <c r="G557" s="55" t="s">
        <v>13</v>
      </c>
      <c r="H557" s="109">
        <f>0</f>
        <v>0</v>
      </c>
    </row>
    <row r="558" spans="1:8" ht="24" x14ac:dyDescent="0.25">
      <c r="A558" s="95"/>
      <c r="B558" s="96"/>
      <c r="C558" s="12" t="s">
        <v>912</v>
      </c>
      <c r="D558" s="12" t="s">
        <v>573</v>
      </c>
      <c r="E558" s="115">
        <f>0</f>
        <v>0</v>
      </c>
      <c r="F558" s="115">
        <f>0</f>
        <v>0</v>
      </c>
      <c r="G558" s="55" t="s">
        <v>13</v>
      </c>
      <c r="H558" s="109">
        <f>0</f>
        <v>0</v>
      </c>
    </row>
    <row r="559" spans="1:8" ht="36" x14ac:dyDescent="0.25">
      <c r="A559" s="95"/>
      <c r="B559" s="96"/>
      <c r="C559" s="12" t="s">
        <v>913</v>
      </c>
      <c r="D559" s="12" t="s">
        <v>574</v>
      </c>
      <c r="E559" s="115">
        <f>0</f>
        <v>0</v>
      </c>
      <c r="F559" s="115">
        <f>0</f>
        <v>0</v>
      </c>
      <c r="G559" s="55" t="s">
        <v>13</v>
      </c>
      <c r="H559" s="109">
        <f>0</f>
        <v>0</v>
      </c>
    </row>
    <row r="560" spans="1:8" x14ac:dyDescent="0.25">
      <c r="A560" s="95"/>
      <c r="B560" s="96"/>
      <c r="C560" s="13" t="s">
        <v>24</v>
      </c>
      <c r="D560" s="13" t="s">
        <v>575</v>
      </c>
      <c r="E560" s="116">
        <f>E561</f>
        <v>123648.03</v>
      </c>
      <c r="F560" s="116">
        <f>F561</f>
        <v>75144.77</v>
      </c>
      <c r="G560" s="60" t="s">
        <v>862</v>
      </c>
      <c r="H560" s="111">
        <f>H561</f>
        <v>75144.77</v>
      </c>
    </row>
    <row r="561" spans="1:8" ht="24" x14ac:dyDescent="0.25">
      <c r="A561" s="95"/>
      <c r="B561" s="96"/>
      <c r="C561" s="12" t="s">
        <v>26</v>
      </c>
      <c r="D561" s="12" t="s">
        <v>576</v>
      </c>
      <c r="E561" s="115">
        <f>SUM(E562:E568)</f>
        <v>123648.03</v>
      </c>
      <c r="F561" s="115">
        <f>SUM(F562:F568)</f>
        <v>75144.77</v>
      </c>
      <c r="G561" s="55" t="s">
        <v>862</v>
      </c>
      <c r="H561" s="109">
        <f>SUM(H562:H568)</f>
        <v>75144.77</v>
      </c>
    </row>
    <row r="562" spans="1:8" ht="24" x14ac:dyDescent="0.25">
      <c r="A562" s="95"/>
      <c r="B562" s="96"/>
      <c r="C562" s="12" t="s">
        <v>619</v>
      </c>
      <c r="D562" s="12" t="s">
        <v>577</v>
      </c>
      <c r="E562" s="115">
        <f>510.27</f>
        <v>510.27</v>
      </c>
      <c r="F562" s="115">
        <f>510.27</f>
        <v>510.27</v>
      </c>
      <c r="G562" s="55" t="s">
        <v>719</v>
      </c>
      <c r="H562" s="109">
        <f>510.27</f>
        <v>510.27</v>
      </c>
    </row>
    <row r="563" spans="1:8" x14ac:dyDescent="0.25">
      <c r="A563" s="95"/>
      <c r="B563" s="96"/>
      <c r="C563" s="12" t="s">
        <v>620</v>
      </c>
      <c r="D563" s="12" t="s">
        <v>578</v>
      </c>
      <c r="E563" s="115">
        <f>17513.14</f>
        <v>17513.14</v>
      </c>
      <c r="F563" s="115">
        <f>10559.72</f>
        <v>10559.72</v>
      </c>
      <c r="G563" s="55" t="s">
        <v>863</v>
      </c>
      <c r="H563" s="109">
        <f>10559.72</f>
        <v>10559.72</v>
      </c>
    </row>
    <row r="564" spans="1:8" ht="24" x14ac:dyDescent="0.25">
      <c r="A564" s="95"/>
      <c r="B564" s="96"/>
      <c r="C564" s="12" t="s">
        <v>656</v>
      </c>
      <c r="D564" s="12" t="s">
        <v>579</v>
      </c>
      <c r="E564" s="115">
        <f>0</f>
        <v>0</v>
      </c>
      <c r="F564" s="115">
        <f>0</f>
        <v>0</v>
      </c>
      <c r="G564" s="55" t="s">
        <v>13</v>
      </c>
      <c r="H564" s="109">
        <f>0</f>
        <v>0</v>
      </c>
    </row>
    <row r="565" spans="1:8" ht="24" x14ac:dyDescent="0.25">
      <c r="A565" s="95"/>
      <c r="B565" s="96"/>
      <c r="C565" s="12" t="s">
        <v>621</v>
      </c>
      <c r="D565" s="12" t="s">
        <v>580</v>
      </c>
      <c r="E565" s="115">
        <f>105624.62</f>
        <v>105624.62</v>
      </c>
      <c r="F565" s="115">
        <f>64074.78</f>
        <v>64074.78</v>
      </c>
      <c r="G565" s="55" t="s">
        <v>864</v>
      </c>
      <c r="H565" s="109">
        <f>64074.78</f>
        <v>64074.78</v>
      </c>
    </row>
    <row r="566" spans="1:8" ht="24" x14ac:dyDescent="0.25">
      <c r="A566" s="95"/>
      <c r="B566" s="96"/>
      <c r="C566" s="12" t="s">
        <v>622</v>
      </c>
      <c r="D566" s="12" t="s">
        <v>582</v>
      </c>
      <c r="E566" s="115">
        <f>0</f>
        <v>0</v>
      </c>
      <c r="F566" s="115">
        <f>0</f>
        <v>0</v>
      </c>
      <c r="G566" s="55" t="s">
        <v>13</v>
      </c>
      <c r="H566" s="109">
        <f>0</f>
        <v>0</v>
      </c>
    </row>
    <row r="567" spans="1:8" ht="24" x14ac:dyDescent="0.25">
      <c r="A567" s="95"/>
      <c r="B567" s="96"/>
      <c r="C567" s="12" t="s">
        <v>666</v>
      </c>
      <c r="D567" s="12" t="s">
        <v>583</v>
      </c>
      <c r="E567" s="115">
        <f>0</f>
        <v>0</v>
      </c>
      <c r="F567" s="115">
        <f>0</f>
        <v>0</v>
      </c>
      <c r="G567" s="55" t="s">
        <v>13</v>
      </c>
      <c r="H567" s="109">
        <f>0</f>
        <v>0</v>
      </c>
    </row>
    <row r="568" spans="1:8" ht="24" x14ac:dyDescent="0.25">
      <c r="A568" s="95"/>
      <c r="B568" s="96"/>
      <c r="C568" s="12" t="s">
        <v>623</v>
      </c>
      <c r="D568" s="12" t="s">
        <v>584</v>
      </c>
      <c r="E568" s="115">
        <f>0</f>
        <v>0</v>
      </c>
      <c r="F568" s="115">
        <f>0</f>
        <v>0</v>
      </c>
      <c r="G568" s="55" t="s">
        <v>13</v>
      </c>
      <c r="H568" s="109">
        <f>0</f>
        <v>0</v>
      </c>
    </row>
    <row r="569" spans="1:8" ht="24" x14ac:dyDescent="0.25">
      <c r="A569" s="95"/>
      <c r="B569" s="96"/>
      <c r="C569" s="13" t="s">
        <v>30</v>
      </c>
      <c r="D569" s="13" t="s">
        <v>585</v>
      </c>
      <c r="E569" s="116">
        <f>E570+E574</f>
        <v>6498.6</v>
      </c>
      <c r="F569" s="116">
        <f>F570+F574</f>
        <v>582.41</v>
      </c>
      <c r="G569" s="60" t="s">
        <v>865</v>
      </c>
      <c r="H569" s="111">
        <f>H570+H574</f>
        <v>582.41</v>
      </c>
    </row>
    <row r="570" spans="1:8" ht="24" x14ac:dyDescent="0.25">
      <c r="A570" s="95"/>
      <c r="B570" s="96"/>
      <c r="C570" s="12" t="s">
        <v>26</v>
      </c>
      <c r="D570" s="12" t="s">
        <v>586</v>
      </c>
      <c r="E570" s="115">
        <f>E571+E572+E573</f>
        <v>5657.14</v>
      </c>
      <c r="F570" s="115">
        <f>F571+F572+F573</f>
        <v>582.41</v>
      </c>
      <c r="G570" s="55" t="s">
        <v>866</v>
      </c>
      <c r="H570" s="109">
        <f>H571+H572+H573</f>
        <v>582.41</v>
      </c>
    </row>
    <row r="571" spans="1:8" x14ac:dyDescent="0.25">
      <c r="A571" s="95"/>
      <c r="B571" s="96"/>
      <c r="C571" s="12" t="s">
        <v>619</v>
      </c>
      <c r="D571" s="12" t="s">
        <v>587</v>
      </c>
      <c r="E571" s="115">
        <f>1295.96+4361.18</f>
        <v>5657.14</v>
      </c>
      <c r="F571" s="115">
        <f>582.41</f>
        <v>582.41</v>
      </c>
      <c r="G571" s="55" t="s">
        <v>866</v>
      </c>
      <c r="H571" s="109">
        <f>582.41</f>
        <v>582.41</v>
      </c>
    </row>
    <row r="572" spans="1:8" ht="24" x14ac:dyDescent="0.25">
      <c r="A572" s="95"/>
      <c r="B572" s="96"/>
      <c r="C572" s="12" t="s">
        <v>620</v>
      </c>
      <c r="D572" s="12" t="s">
        <v>588</v>
      </c>
      <c r="E572" s="115">
        <f>0</f>
        <v>0</v>
      </c>
      <c r="F572" s="115">
        <f>0</f>
        <v>0</v>
      </c>
      <c r="G572" s="55" t="s">
        <v>13</v>
      </c>
      <c r="H572" s="109">
        <f>0</f>
        <v>0</v>
      </c>
    </row>
    <row r="573" spans="1:8" ht="24" x14ac:dyDescent="0.25">
      <c r="A573" s="95"/>
      <c r="B573" s="96"/>
      <c r="C573" s="12" t="s">
        <v>656</v>
      </c>
      <c r="D573" s="12" t="s">
        <v>589</v>
      </c>
      <c r="E573" s="115">
        <f>0</f>
        <v>0</v>
      </c>
      <c r="F573" s="115">
        <f>0</f>
        <v>0</v>
      </c>
      <c r="G573" s="55" t="s">
        <v>13</v>
      </c>
      <c r="H573" s="109">
        <f>0</f>
        <v>0</v>
      </c>
    </row>
    <row r="574" spans="1:8" ht="36" x14ac:dyDescent="0.25">
      <c r="A574" s="95"/>
      <c r="B574" s="96"/>
      <c r="C574" s="12" t="s">
        <v>46</v>
      </c>
      <c r="D574" s="12" t="s">
        <v>867</v>
      </c>
      <c r="E574" s="115">
        <f>E575</f>
        <v>841.46</v>
      </c>
      <c r="F574" s="115">
        <f>F575</f>
        <v>0</v>
      </c>
      <c r="G574" s="55" t="s">
        <v>59</v>
      </c>
      <c r="H574" s="109">
        <f>H575</f>
        <v>0</v>
      </c>
    </row>
    <row r="575" spans="1:8" ht="48" x14ac:dyDescent="0.25">
      <c r="A575" s="95"/>
      <c r="B575" s="96"/>
      <c r="C575" s="12" t="s">
        <v>660</v>
      </c>
      <c r="D575" s="12" t="s">
        <v>868</v>
      </c>
      <c r="E575" s="115">
        <f>170.82+670.64</f>
        <v>841.46</v>
      </c>
      <c r="F575" s="115">
        <f>0</f>
        <v>0</v>
      </c>
      <c r="G575" s="55" t="s">
        <v>59</v>
      </c>
      <c r="H575" s="109">
        <f>0</f>
        <v>0</v>
      </c>
    </row>
    <row r="576" spans="1:8" ht="20.100000000000001" customHeight="1" thickBot="1" x14ac:dyDescent="0.3">
      <c r="A576" s="89" t="s">
        <v>22</v>
      </c>
      <c r="B576" s="90"/>
      <c r="C576" s="90"/>
      <c r="D576" s="90"/>
      <c r="E576" s="117">
        <f>E503+E560+E569</f>
        <v>385517.5</v>
      </c>
      <c r="F576" s="117">
        <f>F503+F560+F569</f>
        <v>198028.55000000002</v>
      </c>
      <c r="G576" s="67" t="s">
        <v>869</v>
      </c>
      <c r="H576" s="113">
        <f>H503+H560+H569</f>
        <v>198028.55000000002</v>
      </c>
    </row>
    <row r="577" spans="1:8" x14ac:dyDescent="0.25">
      <c r="A577" s="69">
        <v>18</v>
      </c>
      <c r="B577" s="94" t="s">
        <v>590</v>
      </c>
      <c r="C577" s="45" t="s">
        <v>24</v>
      </c>
      <c r="D577" s="45" t="s">
        <v>591</v>
      </c>
      <c r="E577" s="114">
        <f>E578</f>
        <v>245487.97</v>
      </c>
      <c r="F577" s="114">
        <f>F578</f>
        <v>238588.67</v>
      </c>
      <c r="G577" s="72" t="s">
        <v>592</v>
      </c>
      <c r="H577" s="114">
        <f>H578</f>
        <v>238588.67</v>
      </c>
    </row>
    <row r="578" spans="1:8" x14ac:dyDescent="0.25">
      <c r="A578" s="74"/>
      <c r="B578" s="96"/>
      <c r="C578" s="12" t="s">
        <v>104</v>
      </c>
      <c r="D578" s="12" t="s">
        <v>105</v>
      </c>
      <c r="E578" s="115">
        <f>E579</f>
        <v>245487.97</v>
      </c>
      <c r="F578" s="115">
        <f>F579</f>
        <v>238588.67</v>
      </c>
      <c r="G578" s="55" t="s">
        <v>592</v>
      </c>
      <c r="H578" s="115">
        <f>H579</f>
        <v>238588.67</v>
      </c>
    </row>
    <row r="579" spans="1:8" x14ac:dyDescent="0.25">
      <c r="A579" s="74"/>
      <c r="B579" s="96"/>
      <c r="C579" s="12" t="s">
        <v>675</v>
      </c>
      <c r="D579" s="12" t="s">
        <v>591</v>
      </c>
      <c r="E579" s="115">
        <f>43177.32+202310.65</f>
        <v>245487.97</v>
      </c>
      <c r="F579" s="115">
        <f>42123.53+196465.14</f>
        <v>238588.67</v>
      </c>
      <c r="G579" s="55" t="s">
        <v>592</v>
      </c>
      <c r="H579" s="115">
        <f>42123.53+196465.14</f>
        <v>238588.67</v>
      </c>
    </row>
    <row r="580" spans="1:8" ht="24" x14ac:dyDescent="0.25">
      <c r="A580" s="74"/>
      <c r="B580" s="96"/>
      <c r="C580" s="13" t="s">
        <v>30</v>
      </c>
      <c r="D580" s="13" t="s">
        <v>593</v>
      </c>
      <c r="E580" s="116">
        <f>E581+E584+E586</f>
        <v>0</v>
      </c>
      <c r="F580" s="116">
        <f>F581+F584+F586</f>
        <v>0</v>
      </c>
      <c r="G580" s="60" t="s">
        <v>164</v>
      </c>
      <c r="H580" s="116">
        <f>H581+H584+H586</f>
        <v>0</v>
      </c>
    </row>
    <row r="581" spans="1:8" ht="24" x14ac:dyDescent="0.25">
      <c r="A581" s="74"/>
      <c r="B581" s="96"/>
      <c r="C581" s="12" t="s">
        <v>26</v>
      </c>
      <c r="D581" s="12" t="s">
        <v>594</v>
      </c>
      <c r="E581" s="115">
        <f>E582+E583</f>
        <v>0</v>
      </c>
      <c r="F581" s="115">
        <f>F582+F583</f>
        <v>0</v>
      </c>
      <c r="G581" s="55" t="s">
        <v>164</v>
      </c>
      <c r="H581" s="115">
        <f>H582+H583</f>
        <v>0</v>
      </c>
    </row>
    <row r="582" spans="1:8" ht="24" x14ac:dyDescent="0.25">
      <c r="A582" s="74"/>
      <c r="B582" s="96"/>
      <c r="C582" s="12" t="s">
        <v>619</v>
      </c>
      <c r="D582" s="12" t="s">
        <v>595</v>
      </c>
      <c r="E582" s="115">
        <f>0</f>
        <v>0</v>
      </c>
      <c r="F582" s="115">
        <f>0</f>
        <v>0</v>
      </c>
      <c r="G582" s="55" t="s">
        <v>164</v>
      </c>
      <c r="H582" s="115">
        <f>0</f>
        <v>0</v>
      </c>
    </row>
    <row r="583" spans="1:8" ht="36" x14ac:dyDescent="0.25">
      <c r="A583" s="74"/>
      <c r="B583" s="96"/>
      <c r="C583" s="12" t="s">
        <v>656</v>
      </c>
      <c r="D583" s="12" t="s">
        <v>596</v>
      </c>
      <c r="E583" s="115">
        <f>0</f>
        <v>0</v>
      </c>
      <c r="F583" s="115">
        <f>0</f>
        <v>0</v>
      </c>
      <c r="G583" s="55" t="s">
        <v>164</v>
      </c>
      <c r="H583" s="115">
        <f>0</f>
        <v>0</v>
      </c>
    </row>
    <row r="584" spans="1:8" ht="24" x14ac:dyDescent="0.25">
      <c r="A584" s="74"/>
      <c r="B584" s="96"/>
      <c r="C584" s="12" t="s">
        <v>46</v>
      </c>
      <c r="D584" s="12" t="s">
        <v>597</v>
      </c>
      <c r="E584" s="115">
        <f>E585</f>
        <v>0</v>
      </c>
      <c r="F584" s="115">
        <f>F585</f>
        <v>0</v>
      </c>
      <c r="G584" s="55" t="s">
        <v>164</v>
      </c>
      <c r="H584" s="115">
        <f>H585</f>
        <v>0</v>
      </c>
    </row>
    <row r="585" spans="1:8" ht="36" x14ac:dyDescent="0.25">
      <c r="A585" s="74"/>
      <c r="B585" s="96"/>
      <c r="C585" s="12" t="s">
        <v>659</v>
      </c>
      <c r="D585" s="12" t="s">
        <v>598</v>
      </c>
      <c r="E585" s="115">
        <f>0</f>
        <v>0</v>
      </c>
      <c r="F585" s="115">
        <f>0</f>
        <v>0</v>
      </c>
      <c r="G585" s="55" t="s">
        <v>164</v>
      </c>
      <c r="H585" s="115">
        <f>0</f>
        <v>0</v>
      </c>
    </row>
    <row r="586" spans="1:8" ht="24" x14ac:dyDescent="0.25">
      <c r="A586" s="74"/>
      <c r="B586" s="96"/>
      <c r="C586" s="12" t="s">
        <v>98</v>
      </c>
      <c r="D586" s="12" t="s">
        <v>99</v>
      </c>
      <c r="E586" s="115">
        <f>E587</f>
        <v>0</v>
      </c>
      <c r="F586" s="115">
        <f>F587</f>
        <v>0</v>
      </c>
      <c r="G586" s="55" t="s">
        <v>164</v>
      </c>
      <c r="H586" s="115">
        <f>H587</f>
        <v>0</v>
      </c>
    </row>
    <row r="587" spans="1:8" ht="24" x14ac:dyDescent="0.25">
      <c r="A587" s="74"/>
      <c r="B587" s="96"/>
      <c r="C587" s="12" t="s">
        <v>915</v>
      </c>
      <c r="D587" s="12" t="s">
        <v>599</v>
      </c>
      <c r="E587" s="115">
        <f>0</f>
        <v>0</v>
      </c>
      <c r="F587" s="115">
        <f>0</f>
        <v>0</v>
      </c>
      <c r="G587" s="55" t="s">
        <v>164</v>
      </c>
      <c r="H587" s="115">
        <f>0</f>
        <v>0</v>
      </c>
    </row>
    <row r="588" spans="1:8" ht="24" x14ac:dyDescent="0.25">
      <c r="A588" s="74"/>
      <c r="B588" s="96"/>
      <c r="C588" s="13" t="s">
        <v>17</v>
      </c>
      <c r="D588" s="13" t="s">
        <v>600</v>
      </c>
      <c r="E588" s="116">
        <f>E589+E591</f>
        <v>0</v>
      </c>
      <c r="F588" s="116">
        <f>F589+F591</f>
        <v>0</v>
      </c>
      <c r="G588" s="60" t="s">
        <v>164</v>
      </c>
      <c r="H588" s="116">
        <f>H589+H591</f>
        <v>0</v>
      </c>
    </row>
    <row r="589" spans="1:8" ht="24" x14ac:dyDescent="0.25">
      <c r="A589" s="74"/>
      <c r="B589" s="96"/>
      <c r="C589" s="12" t="s">
        <v>26</v>
      </c>
      <c r="D589" s="12" t="s">
        <v>601</v>
      </c>
      <c r="E589" s="115">
        <f>E590</f>
        <v>0</v>
      </c>
      <c r="F589" s="115">
        <f>F590</f>
        <v>0</v>
      </c>
      <c r="G589" s="55" t="s">
        <v>164</v>
      </c>
      <c r="H589" s="115">
        <f>H590</f>
        <v>0</v>
      </c>
    </row>
    <row r="590" spans="1:8" ht="36" x14ac:dyDescent="0.25">
      <c r="A590" s="74"/>
      <c r="B590" s="96"/>
      <c r="C590" s="12" t="s">
        <v>620</v>
      </c>
      <c r="D590" s="12" t="s">
        <v>602</v>
      </c>
      <c r="E590" s="115">
        <f>0</f>
        <v>0</v>
      </c>
      <c r="F590" s="115">
        <f>0</f>
        <v>0</v>
      </c>
      <c r="G590" s="55" t="s">
        <v>164</v>
      </c>
      <c r="H590" s="115">
        <f>0</f>
        <v>0</v>
      </c>
    </row>
    <row r="591" spans="1:8" ht="24" x14ac:dyDescent="0.25">
      <c r="A591" s="74"/>
      <c r="B591" s="96"/>
      <c r="C591" s="12" t="s">
        <v>914</v>
      </c>
      <c r="D591" s="12" t="s">
        <v>603</v>
      </c>
      <c r="E591" s="115">
        <f>E592</f>
        <v>0</v>
      </c>
      <c r="F591" s="115">
        <f>F592</f>
        <v>0</v>
      </c>
      <c r="G591" s="55" t="s">
        <v>164</v>
      </c>
      <c r="H591" s="115">
        <f>H592</f>
        <v>0</v>
      </c>
    </row>
    <row r="592" spans="1:8" ht="24" x14ac:dyDescent="0.25">
      <c r="A592" s="74"/>
      <c r="B592" s="96"/>
      <c r="C592" s="12" t="s">
        <v>916</v>
      </c>
      <c r="D592" s="12" t="s">
        <v>604</v>
      </c>
      <c r="E592" s="115">
        <f>0</f>
        <v>0</v>
      </c>
      <c r="F592" s="115">
        <f>0</f>
        <v>0</v>
      </c>
      <c r="G592" s="55" t="s">
        <v>164</v>
      </c>
      <c r="H592" s="115">
        <f>0</f>
        <v>0</v>
      </c>
    </row>
    <row r="593" spans="1:8" ht="20.100000000000001" customHeight="1" thickBot="1" x14ac:dyDescent="0.3">
      <c r="A593" s="103" t="s">
        <v>22</v>
      </c>
      <c r="B593" s="104"/>
      <c r="C593" s="104"/>
      <c r="D593" s="105"/>
      <c r="E593" s="117">
        <f>E577+E580+E588</f>
        <v>245487.97</v>
      </c>
      <c r="F593" s="117">
        <f>F577+F580+F588</f>
        <v>238588.67</v>
      </c>
      <c r="G593" s="67" t="s">
        <v>592</v>
      </c>
      <c r="H593" s="117">
        <f>H577+H580+H588</f>
        <v>238588.67</v>
      </c>
    </row>
    <row r="596" spans="1:8" x14ac:dyDescent="0.25">
      <c r="E596" s="14"/>
      <c r="F596" s="14"/>
    </row>
    <row r="597" spans="1:8" x14ac:dyDescent="0.25">
      <c r="D597" s="15"/>
    </row>
    <row r="598" spans="1:8" x14ac:dyDescent="0.25">
      <c r="E598" s="14"/>
      <c r="F598" s="14"/>
    </row>
  </sheetData>
  <mergeCells count="57">
    <mergeCell ref="A105:D105"/>
    <mergeCell ref="A1:H1"/>
    <mergeCell ref="A2:H2"/>
    <mergeCell ref="A3:H3"/>
    <mergeCell ref="A8:A14"/>
    <mergeCell ref="B8:B14"/>
    <mergeCell ref="A15:D15"/>
    <mergeCell ref="A16:A38"/>
    <mergeCell ref="B16:B38"/>
    <mergeCell ref="A39:D39"/>
    <mergeCell ref="A40:A104"/>
    <mergeCell ref="B40:B104"/>
    <mergeCell ref="A172:D172"/>
    <mergeCell ref="A106:A146"/>
    <mergeCell ref="B106:B146"/>
    <mergeCell ref="A147:D147"/>
    <mergeCell ref="A148:A160"/>
    <mergeCell ref="B148:B160"/>
    <mergeCell ref="A161:D161"/>
    <mergeCell ref="A162:A164"/>
    <mergeCell ref="B162:B164"/>
    <mergeCell ref="A165:D165"/>
    <mergeCell ref="A166:A171"/>
    <mergeCell ref="B166:B171"/>
    <mergeCell ref="A346:D346"/>
    <mergeCell ref="A173:A236"/>
    <mergeCell ref="B173:B236"/>
    <mergeCell ref="A237:D237"/>
    <mergeCell ref="A238:A257"/>
    <mergeCell ref="B238:B257"/>
    <mergeCell ref="A258:D258"/>
    <mergeCell ref="A259:A291"/>
    <mergeCell ref="B259:B291"/>
    <mergeCell ref="A292:D292"/>
    <mergeCell ref="A293:A345"/>
    <mergeCell ref="B293:B345"/>
    <mergeCell ref="A482:D482"/>
    <mergeCell ref="A347:A379"/>
    <mergeCell ref="B347:B379"/>
    <mergeCell ref="A380:D380"/>
    <mergeCell ref="A381:A413"/>
    <mergeCell ref="B381:B413"/>
    <mergeCell ref="A414:D414"/>
    <mergeCell ref="A415:A442"/>
    <mergeCell ref="B415:B442"/>
    <mergeCell ref="A443:D443"/>
    <mergeCell ref="A444:A481"/>
    <mergeCell ref="B444:B481"/>
    <mergeCell ref="A577:A592"/>
    <mergeCell ref="B577:B592"/>
    <mergeCell ref="A593:D593"/>
    <mergeCell ref="A483:A501"/>
    <mergeCell ref="B483:B501"/>
    <mergeCell ref="A502:D502"/>
    <mergeCell ref="A503:A575"/>
    <mergeCell ref="B503:B575"/>
    <mergeCell ref="A576:D576"/>
  </mergeCells>
  <pageMargins left="0.23622047244094491" right="0.23622047244094491" top="0.39370078740157483" bottom="0.3937007874015748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Алена А. Лихачева</cp:lastModifiedBy>
  <cp:lastPrinted>2020-10-19T12:58:38Z</cp:lastPrinted>
  <dcterms:created xsi:type="dcterms:W3CDTF">2020-07-31T08:15:26Z</dcterms:created>
  <dcterms:modified xsi:type="dcterms:W3CDTF">2020-10-19T13:18:46Z</dcterms:modified>
</cp:coreProperties>
</file>