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924" i="1" l="1"/>
  <c r="H923" i="1"/>
  <c r="H922" i="1"/>
  <c r="H921" i="1" s="1"/>
  <c r="H920" i="1"/>
  <c r="H919" i="1"/>
  <c r="H918" i="1"/>
  <c r="H917" i="1"/>
  <c r="H916" i="1"/>
  <c r="H913" i="1" s="1"/>
  <c r="H912" i="1" s="1"/>
  <c r="H925" i="1" s="1"/>
  <c r="H915" i="1"/>
  <c r="H914" i="1"/>
  <c r="F924" i="1"/>
  <c r="F923" i="1"/>
  <c r="F922" i="1"/>
  <c r="F920" i="1"/>
  <c r="F919" i="1"/>
  <c r="F918" i="1"/>
  <c r="F917" i="1"/>
  <c r="F916" i="1"/>
  <c r="F915" i="1"/>
  <c r="F914" i="1"/>
  <c r="E924" i="1"/>
  <c r="E923" i="1"/>
  <c r="E922" i="1"/>
  <c r="E920" i="1"/>
  <c r="E919" i="1"/>
  <c r="E918" i="1"/>
  <c r="E917" i="1"/>
  <c r="E916" i="1"/>
  <c r="E915" i="1"/>
  <c r="E914" i="1"/>
  <c r="F921" i="1" l="1"/>
  <c r="F913" i="1"/>
  <c r="F912" i="1" s="1"/>
  <c r="F925" i="1" s="1"/>
  <c r="E921" i="1"/>
  <c r="E913" i="1"/>
  <c r="E912" i="1" s="1"/>
  <c r="E925" i="1" s="1"/>
  <c r="H910" i="1"/>
  <c r="H909" i="1"/>
  <c r="H908" i="1"/>
  <c r="H907" i="1"/>
  <c r="H906" i="1"/>
  <c r="H905" i="1"/>
  <c r="H904" i="1"/>
  <c r="H903" i="1"/>
  <c r="H902" i="1" s="1"/>
  <c r="H901" i="1"/>
  <c r="H900" i="1"/>
  <c r="H899" i="1"/>
  <c r="H897" i="1"/>
  <c r="H896" i="1" s="1"/>
  <c r="H895" i="1"/>
  <c r="H894" i="1"/>
  <c r="H893" i="1"/>
  <c r="H891" i="1" s="1"/>
  <c r="H892" i="1"/>
  <c r="H890" i="1"/>
  <c r="H889" i="1"/>
  <c r="H888" i="1"/>
  <c r="H887" i="1"/>
  <c r="H885" i="1"/>
  <c r="H884" i="1"/>
  <c r="H883" i="1"/>
  <c r="H882" i="1"/>
  <c r="H881" i="1"/>
  <c r="H880" i="1"/>
  <c r="H879" i="1"/>
  <c r="H878" i="1"/>
  <c r="F910" i="1"/>
  <c r="F908" i="1"/>
  <c r="F906" i="1"/>
  <c r="F905" i="1"/>
  <c r="F904" i="1"/>
  <c r="F903" i="1"/>
  <c r="F901" i="1"/>
  <c r="F900" i="1"/>
  <c r="F897" i="1"/>
  <c r="F896" i="1" s="1"/>
  <c r="F895" i="1"/>
  <c r="F894" i="1"/>
  <c r="F893" i="1"/>
  <c r="F892" i="1"/>
  <c r="F889" i="1"/>
  <c r="F888" i="1"/>
  <c r="F887" i="1"/>
  <c r="F883" i="1"/>
  <c r="F881" i="1"/>
  <c r="F880" i="1"/>
  <c r="F879" i="1"/>
  <c r="F878" i="1"/>
  <c r="E910" i="1"/>
  <c r="E906" i="1"/>
  <c r="E904" i="1"/>
  <c r="E903" i="1"/>
  <c r="E901" i="1"/>
  <c r="E899" i="1" s="1"/>
  <c r="E900" i="1"/>
  <c r="E897" i="1"/>
  <c r="E896" i="1" s="1"/>
  <c r="E895" i="1"/>
  <c r="E894" i="1"/>
  <c r="E893" i="1"/>
  <c r="E892" i="1"/>
  <c r="E889" i="1"/>
  <c r="E888" i="1"/>
  <c r="E887" i="1"/>
  <c r="E883" i="1"/>
  <c r="E881" i="1"/>
  <c r="E880" i="1"/>
  <c r="E879" i="1"/>
  <c r="E878" i="1"/>
  <c r="F909" i="1"/>
  <c r="E909" i="1"/>
  <c r="E908" i="1"/>
  <c r="F907" i="1"/>
  <c r="E907" i="1"/>
  <c r="E905" i="1"/>
  <c r="F899" i="1"/>
  <c r="F890" i="1"/>
  <c r="E890" i="1"/>
  <c r="F885" i="1"/>
  <c r="F884" i="1" s="1"/>
  <c r="E885" i="1"/>
  <c r="E884" i="1"/>
  <c r="F882" i="1"/>
  <c r="E882" i="1"/>
  <c r="H886" i="1" l="1"/>
  <c r="H877" i="1"/>
  <c r="H898" i="1"/>
  <c r="F902" i="1"/>
  <c r="F891" i="1"/>
  <c r="F886" i="1"/>
  <c r="F877" i="1"/>
  <c r="E902" i="1"/>
  <c r="E898" i="1" s="1"/>
  <c r="E891" i="1"/>
  <c r="E886" i="1"/>
  <c r="E877" i="1"/>
  <c r="F898" i="1"/>
  <c r="H876" i="1" l="1"/>
  <c r="H911" i="1" s="1"/>
  <c r="F876" i="1"/>
  <c r="F911" i="1" s="1"/>
  <c r="E876" i="1"/>
  <c r="E911" i="1" s="1"/>
  <c r="H874" i="1" l="1"/>
  <c r="H873" i="1"/>
  <c r="H872" i="1"/>
  <c r="H871" i="1"/>
  <c r="H870" i="1"/>
  <c r="H869" i="1"/>
  <c r="H868" i="1"/>
  <c r="H867" i="1"/>
  <c r="H866" i="1"/>
  <c r="H863" i="1"/>
  <c r="H862" i="1"/>
  <c r="H861" i="1"/>
  <c r="H860" i="1"/>
  <c r="H859" i="1"/>
  <c r="H858" i="1"/>
  <c r="H857" i="1" s="1"/>
  <c r="H856" i="1"/>
  <c r="H855" i="1"/>
  <c r="H854" i="1"/>
  <c r="H853" i="1"/>
  <c r="H851" i="1"/>
  <c r="H850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2" i="1"/>
  <c r="H831" i="1"/>
  <c r="H830" i="1"/>
  <c r="H826" i="1"/>
  <c r="H825" i="1"/>
  <c r="H824" i="1"/>
  <c r="H823" i="1"/>
  <c r="H822" i="1"/>
  <c r="H821" i="1"/>
  <c r="H820" i="1"/>
  <c r="H819" i="1"/>
  <c r="H817" i="1"/>
  <c r="H816" i="1"/>
  <c r="H815" i="1"/>
  <c r="H814" i="1"/>
  <c r="H813" i="1"/>
  <c r="H812" i="1"/>
  <c r="H811" i="1"/>
  <c r="H810" i="1"/>
  <c r="H808" i="1"/>
  <c r="H807" i="1"/>
  <c r="H806" i="1"/>
  <c r="H805" i="1"/>
  <c r="H804" i="1"/>
  <c r="H803" i="1"/>
  <c r="H802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0" i="1"/>
  <c r="H739" i="1"/>
  <c r="H736" i="1"/>
  <c r="H735" i="1"/>
  <c r="H734" i="1"/>
  <c r="H732" i="1"/>
  <c r="H731" i="1"/>
  <c r="H730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F874" i="1"/>
  <c r="F873" i="1"/>
  <c r="F872" i="1"/>
  <c r="F871" i="1"/>
  <c r="F870" i="1"/>
  <c r="F869" i="1"/>
  <c r="F867" i="1"/>
  <c r="F866" i="1"/>
  <c r="F863" i="1"/>
  <c r="F862" i="1"/>
  <c r="F861" i="1"/>
  <c r="F860" i="1"/>
  <c r="F859" i="1"/>
  <c r="F858" i="1"/>
  <c r="F856" i="1"/>
  <c r="F855" i="1"/>
  <c r="F854" i="1"/>
  <c r="F853" i="1"/>
  <c r="F851" i="1"/>
  <c r="F850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2" i="1"/>
  <c r="F831" i="1"/>
  <c r="F830" i="1"/>
  <c r="F826" i="1"/>
  <c r="F825" i="1"/>
  <c r="F824" i="1"/>
  <c r="F823" i="1"/>
  <c r="F822" i="1"/>
  <c r="F821" i="1"/>
  <c r="F820" i="1"/>
  <c r="F819" i="1"/>
  <c r="F817" i="1"/>
  <c r="F816" i="1"/>
  <c r="F815" i="1"/>
  <c r="F814" i="1"/>
  <c r="F813" i="1"/>
  <c r="F812" i="1"/>
  <c r="F811" i="1"/>
  <c r="F810" i="1"/>
  <c r="F808" i="1"/>
  <c r="F807" i="1"/>
  <c r="F806" i="1"/>
  <c r="F805" i="1"/>
  <c r="F804" i="1"/>
  <c r="F803" i="1"/>
  <c r="F802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4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7" i="1"/>
  <c r="F746" i="1"/>
  <c r="F745" i="1"/>
  <c r="F744" i="1"/>
  <c r="F743" i="1"/>
  <c r="F742" i="1"/>
  <c r="F740" i="1"/>
  <c r="F736" i="1"/>
  <c r="F735" i="1"/>
  <c r="F734" i="1"/>
  <c r="F732" i="1"/>
  <c r="F730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E874" i="1"/>
  <c r="E873" i="1"/>
  <c r="E872" i="1"/>
  <c r="E871" i="1"/>
  <c r="E870" i="1"/>
  <c r="E869" i="1"/>
  <c r="E867" i="1"/>
  <c r="E866" i="1"/>
  <c r="E863" i="1"/>
  <c r="E862" i="1"/>
  <c r="E861" i="1"/>
  <c r="E860" i="1"/>
  <c r="E859" i="1"/>
  <c r="H852" i="1" l="1"/>
  <c r="H733" i="1"/>
  <c r="H829" i="1"/>
  <c r="H828" i="1" s="1"/>
  <c r="H710" i="1"/>
  <c r="H766" i="1"/>
  <c r="H765" i="1" s="1"/>
  <c r="H809" i="1"/>
  <c r="H834" i="1"/>
  <c r="H833" i="1" s="1"/>
  <c r="H827" i="1" s="1"/>
  <c r="H738" i="1"/>
  <c r="H865" i="1"/>
  <c r="H729" i="1"/>
  <c r="H741" i="1"/>
  <c r="H801" i="1"/>
  <c r="H818" i="1"/>
  <c r="H849" i="1"/>
  <c r="H864" i="1"/>
  <c r="F809" i="1"/>
  <c r="E858" i="1"/>
  <c r="E857" i="1" s="1"/>
  <c r="E856" i="1"/>
  <c r="E855" i="1"/>
  <c r="E854" i="1"/>
  <c r="E853" i="1"/>
  <c r="E851" i="1"/>
  <c r="E850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2" i="1"/>
  <c r="E831" i="1"/>
  <c r="E830" i="1"/>
  <c r="E826" i="1"/>
  <c r="E825" i="1" s="1"/>
  <c r="E824" i="1"/>
  <c r="E823" i="1"/>
  <c r="E822" i="1"/>
  <c r="E821" i="1"/>
  <c r="E820" i="1"/>
  <c r="E819" i="1"/>
  <c r="E817" i="1"/>
  <c r="E816" i="1"/>
  <c r="E815" i="1"/>
  <c r="E814" i="1"/>
  <c r="E813" i="1"/>
  <c r="E812" i="1"/>
  <c r="E811" i="1"/>
  <c r="E810" i="1"/>
  <c r="E808" i="1"/>
  <c r="E807" i="1"/>
  <c r="E806" i="1"/>
  <c r="E805" i="1"/>
  <c r="E804" i="1"/>
  <c r="E803" i="1"/>
  <c r="E802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6" i="1"/>
  <c r="E785" i="1"/>
  <c r="E784" i="1"/>
  <c r="E783" i="1"/>
  <c r="E782" i="1"/>
  <c r="E781" i="1"/>
  <c r="E780" i="1"/>
  <c r="E778" i="1"/>
  <c r="E777" i="1"/>
  <c r="E776" i="1"/>
  <c r="E775" i="1"/>
  <c r="E774" i="1"/>
  <c r="E773" i="1"/>
  <c r="E772" i="1"/>
  <c r="E771" i="1"/>
  <c r="E770" i="1"/>
  <c r="E769" i="1"/>
  <c r="E768" i="1"/>
  <c r="E764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7" i="1"/>
  <c r="E746" i="1"/>
  <c r="E745" i="1"/>
  <c r="E744" i="1"/>
  <c r="E743" i="1"/>
  <c r="E742" i="1"/>
  <c r="E740" i="1"/>
  <c r="E736" i="1"/>
  <c r="E735" i="1"/>
  <c r="E734" i="1"/>
  <c r="E732" i="1"/>
  <c r="E730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F868" i="1"/>
  <c r="E868" i="1"/>
  <c r="F865" i="1"/>
  <c r="E865" i="1"/>
  <c r="F857" i="1"/>
  <c r="F852" i="1"/>
  <c r="F849" i="1"/>
  <c r="F834" i="1"/>
  <c r="F833" i="1" s="1"/>
  <c r="F829" i="1"/>
  <c r="F828" i="1" s="1"/>
  <c r="F818" i="1"/>
  <c r="F801" i="1"/>
  <c r="E779" i="1"/>
  <c r="F767" i="1"/>
  <c r="F766" i="1" s="1"/>
  <c r="E767" i="1"/>
  <c r="F748" i="1"/>
  <c r="E748" i="1"/>
  <c r="F741" i="1"/>
  <c r="F739" i="1"/>
  <c r="F738" i="1" s="1"/>
  <c r="E739" i="1"/>
  <c r="F733" i="1"/>
  <c r="F731" i="1"/>
  <c r="F729" i="1" s="1"/>
  <c r="E731" i="1"/>
  <c r="E729" i="1" s="1"/>
  <c r="F710" i="1"/>
  <c r="H737" i="1" l="1"/>
  <c r="H709" i="1" s="1"/>
  <c r="H875" i="1" s="1"/>
  <c r="H763" i="1"/>
  <c r="E738" i="1"/>
  <c r="E737" i="1" s="1"/>
  <c r="E834" i="1"/>
  <c r="E833" i="1" s="1"/>
  <c r="E864" i="1"/>
  <c r="E741" i="1"/>
  <c r="E849" i="1"/>
  <c r="E852" i="1"/>
  <c r="E733" i="1"/>
  <c r="F864" i="1"/>
  <c r="F827" i="1"/>
  <c r="F765" i="1"/>
  <c r="F763" i="1" s="1"/>
  <c r="F737" i="1"/>
  <c r="F709" i="1" s="1"/>
  <c r="E829" i="1"/>
  <c r="E828" i="1" s="1"/>
  <c r="E818" i="1"/>
  <c r="E809" i="1"/>
  <c r="E801" i="1"/>
  <c r="E787" i="1"/>
  <c r="E766" i="1"/>
  <c r="E765" i="1" s="1"/>
  <c r="E710" i="1"/>
  <c r="H706" i="1"/>
  <c r="H705" i="1" s="1"/>
  <c r="F706" i="1"/>
  <c r="F705" i="1" s="1"/>
  <c r="E706" i="1"/>
  <c r="E705" i="1" s="1"/>
  <c r="H701" i="1"/>
  <c r="H700" i="1" s="1"/>
  <c r="F701" i="1"/>
  <c r="F700" i="1" s="1"/>
  <c r="E701" i="1"/>
  <c r="E700" i="1" s="1"/>
  <c r="H693" i="1"/>
  <c r="H692" i="1" s="1"/>
  <c r="F693" i="1"/>
  <c r="F692" i="1" s="1"/>
  <c r="E693" i="1"/>
  <c r="E692" i="1" s="1"/>
  <c r="E708" i="1" l="1"/>
  <c r="F708" i="1"/>
  <c r="H708" i="1"/>
  <c r="F875" i="1"/>
  <c r="E827" i="1"/>
  <c r="E763" i="1"/>
  <c r="E709" i="1"/>
  <c r="H690" i="1"/>
  <c r="H689" i="1"/>
  <c r="H688" i="1"/>
  <c r="H687" i="1"/>
  <c r="H686" i="1"/>
  <c r="H683" i="1"/>
  <c r="H682" i="1"/>
  <c r="H681" i="1"/>
  <c r="H680" i="1"/>
  <c r="H679" i="1"/>
  <c r="H678" i="1"/>
  <c r="H676" i="1"/>
  <c r="H675" i="1"/>
  <c r="H674" i="1"/>
  <c r="H673" i="1"/>
  <c r="H671" i="1"/>
  <c r="H670" i="1"/>
  <c r="H669" i="1"/>
  <c r="H668" i="1"/>
  <c r="H667" i="1"/>
  <c r="H666" i="1"/>
  <c r="H665" i="1"/>
  <c r="H664" i="1"/>
  <c r="H662" i="1"/>
  <c r="H661" i="1"/>
  <c r="H660" i="1"/>
  <c r="H659" i="1"/>
  <c r="H658" i="1"/>
  <c r="H655" i="1"/>
  <c r="H654" i="1"/>
  <c r="H652" i="1"/>
  <c r="H651" i="1"/>
  <c r="H650" i="1"/>
  <c r="H649" i="1"/>
  <c r="H648" i="1"/>
  <c r="H646" i="1"/>
  <c r="H645" i="1"/>
  <c r="H644" i="1"/>
  <c r="H642" i="1" s="1"/>
  <c r="H643" i="1"/>
  <c r="H641" i="1"/>
  <c r="H640" i="1"/>
  <c r="H639" i="1"/>
  <c r="H638" i="1"/>
  <c r="H637" i="1"/>
  <c r="H636" i="1"/>
  <c r="H635" i="1"/>
  <c r="H634" i="1"/>
  <c r="H633" i="1"/>
  <c r="H632" i="1"/>
  <c r="F690" i="1"/>
  <c r="E690" i="1"/>
  <c r="F689" i="1"/>
  <c r="E689" i="1"/>
  <c r="F687" i="1"/>
  <c r="E687" i="1"/>
  <c r="F686" i="1"/>
  <c r="E686" i="1"/>
  <c r="F683" i="1"/>
  <c r="E683" i="1"/>
  <c r="F680" i="1"/>
  <c r="E680" i="1"/>
  <c r="F678" i="1"/>
  <c r="E678" i="1"/>
  <c r="F676" i="1"/>
  <c r="F675" i="1"/>
  <c r="F674" i="1"/>
  <c r="E676" i="1"/>
  <c r="E675" i="1"/>
  <c r="E674" i="1"/>
  <c r="F673" i="1"/>
  <c r="E673" i="1"/>
  <c r="F671" i="1"/>
  <c r="F670" i="1"/>
  <c r="F669" i="1"/>
  <c r="E671" i="1"/>
  <c r="E670" i="1"/>
  <c r="E669" i="1"/>
  <c r="F668" i="1"/>
  <c r="E668" i="1"/>
  <c r="F667" i="1"/>
  <c r="E667" i="1"/>
  <c r="F666" i="1"/>
  <c r="F665" i="1"/>
  <c r="F664" i="1"/>
  <c r="E666" i="1"/>
  <c r="E665" i="1"/>
  <c r="E664" i="1"/>
  <c r="F662" i="1"/>
  <c r="F661" i="1"/>
  <c r="F660" i="1"/>
  <c r="F659" i="1"/>
  <c r="F658" i="1"/>
  <c r="E662" i="1"/>
  <c r="E661" i="1"/>
  <c r="E660" i="1"/>
  <c r="E659" i="1"/>
  <c r="E658" i="1"/>
  <c r="F655" i="1"/>
  <c r="F654" i="1"/>
  <c r="E655" i="1"/>
  <c r="E654" i="1"/>
  <c r="F652" i="1"/>
  <c r="F651" i="1"/>
  <c r="F650" i="1"/>
  <c r="F649" i="1"/>
  <c r="F648" i="1"/>
  <c r="E652" i="1"/>
  <c r="E651" i="1"/>
  <c r="E650" i="1"/>
  <c r="E649" i="1"/>
  <c r="E648" i="1"/>
  <c r="F646" i="1"/>
  <c r="F645" i="1"/>
  <c r="F644" i="1"/>
  <c r="F643" i="1"/>
  <c r="E646" i="1"/>
  <c r="E645" i="1"/>
  <c r="E644" i="1"/>
  <c r="E643" i="1"/>
  <c r="F641" i="1"/>
  <c r="F640" i="1"/>
  <c r="F639" i="1"/>
  <c r="F638" i="1"/>
  <c r="E641" i="1"/>
  <c r="E640" i="1"/>
  <c r="E639" i="1"/>
  <c r="E638" i="1"/>
  <c r="F637" i="1"/>
  <c r="F636" i="1"/>
  <c r="F635" i="1"/>
  <c r="F634" i="1"/>
  <c r="F633" i="1"/>
  <c r="E637" i="1"/>
  <c r="E636" i="1"/>
  <c r="E635" i="1"/>
  <c r="E634" i="1"/>
  <c r="H672" i="1" l="1"/>
  <c r="H677" i="1"/>
  <c r="H653" i="1"/>
  <c r="H631" i="1"/>
  <c r="H630" i="1" s="1"/>
  <c r="H685" i="1"/>
  <c r="H684" i="1" s="1"/>
  <c r="H647" i="1"/>
  <c r="H663" i="1"/>
  <c r="H657" i="1" s="1"/>
  <c r="H656" i="1" s="1"/>
  <c r="E875" i="1"/>
  <c r="E633" i="1"/>
  <c r="F632" i="1"/>
  <c r="F631" i="1" s="1"/>
  <c r="E632" i="1"/>
  <c r="E631" i="1" s="1"/>
  <c r="F688" i="1"/>
  <c r="F685" i="1" s="1"/>
  <c r="F684" i="1" s="1"/>
  <c r="E688" i="1"/>
  <c r="E685" i="1" s="1"/>
  <c r="E684" i="1" s="1"/>
  <c r="F682" i="1"/>
  <c r="E682" i="1"/>
  <c r="F681" i="1"/>
  <c r="E681" i="1"/>
  <c r="F679" i="1"/>
  <c r="E679" i="1"/>
  <c r="F672" i="1"/>
  <c r="E672" i="1"/>
  <c r="F663" i="1"/>
  <c r="F657" i="1" s="1"/>
  <c r="E663" i="1"/>
  <c r="E657" i="1" s="1"/>
  <c r="F653" i="1"/>
  <c r="E653" i="1"/>
  <c r="F647" i="1"/>
  <c r="E647" i="1"/>
  <c r="F642" i="1"/>
  <c r="E642" i="1"/>
  <c r="F677" i="1" l="1"/>
  <c r="E677" i="1"/>
  <c r="H629" i="1"/>
  <c r="H691" i="1" s="1"/>
  <c r="E656" i="1"/>
  <c r="F630" i="1"/>
  <c r="F629" i="1" s="1"/>
  <c r="E630" i="1"/>
  <c r="E629" i="1" s="1"/>
  <c r="F656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H615" i="1" l="1"/>
  <c r="H628" i="1" s="1"/>
  <c r="E691" i="1"/>
  <c r="F691" i="1"/>
  <c r="F615" i="1"/>
  <c r="F628" i="1" s="1"/>
  <c r="E615" i="1"/>
  <c r="E628" i="1" s="1"/>
  <c r="H613" i="1"/>
  <c r="H612" i="1"/>
  <c r="H611" i="1" s="1"/>
  <c r="H610" i="1"/>
  <c r="H609" i="1" s="1"/>
  <c r="H608" i="1"/>
  <c r="H607" i="1"/>
  <c r="H606" i="1"/>
  <c r="H605" i="1"/>
  <c r="H603" i="1"/>
  <c r="H602" i="1"/>
  <c r="H601" i="1"/>
  <c r="H600" i="1"/>
  <c r="H599" i="1" s="1"/>
  <c r="H597" i="1"/>
  <c r="H596" i="1"/>
  <c r="H595" i="1"/>
  <c r="H594" i="1" s="1"/>
  <c r="H593" i="1"/>
  <c r="H592" i="1"/>
  <c r="H591" i="1"/>
  <c r="H589" i="1"/>
  <c r="H588" i="1"/>
  <c r="H587" i="1"/>
  <c r="H584" i="1"/>
  <c r="H583" i="1"/>
  <c r="H582" i="1"/>
  <c r="H581" i="1"/>
  <c r="H580" i="1"/>
  <c r="F613" i="1"/>
  <c r="E613" i="1"/>
  <c r="F612" i="1"/>
  <c r="F611" i="1" s="1"/>
  <c r="E612" i="1"/>
  <c r="E611" i="1" s="1"/>
  <c r="F610" i="1"/>
  <c r="F609" i="1" s="1"/>
  <c r="E610" i="1"/>
  <c r="E609" i="1" s="1"/>
  <c r="F608" i="1"/>
  <c r="F607" i="1"/>
  <c r="F606" i="1"/>
  <c r="F605" i="1"/>
  <c r="F604" i="1" s="1"/>
  <c r="E608" i="1"/>
  <c r="E607" i="1"/>
  <c r="E606" i="1"/>
  <c r="E605" i="1"/>
  <c r="E604" i="1" s="1"/>
  <c r="F603" i="1"/>
  <c r="F602" i="1"/>
  <c r="F601" i="1"/>
  <c r="E603" i="1"/>
  <c r="E602" i="1"/>
  <c r="E601" i="1"/>
  <c r="F600" i="1"/>
  <c r="F599" i="1" s="1"/>
  <c r="E600" i="1"/>
  <c r="E599" i="1" s="1"/>
  <c r="F595" i="1"/>
  <c r="F597" i="1"/>
  <c r="F596" i="1"/>
  <c r="E597" i="1"/>
  <c r="E596" i="1"/>
  <c r="E595" i="1"/>
  <c r="F593" i="1"/>
  <c r="F592" i="1"/>
  <c r="F591" i="1"/>
  <c r="E593" i="1"/>
  <c r="E592" i="1"/>
  <c r="E591" i="1"/>
  <c r="F589" i="1"/>
  <c r="F588" i="1"/>
  <c r="F587" i="1"/>
  <c r="E589" i="1"/>
  <c r="E586" i="1" s="1"/>
  <c r="E588" i="1"/>
  <c r="E587" i="1"/>
  <c r="F584" i="1"/>
  <c r="F583" i="1"/>
  <c r="F582" i="1"/>
  <c r="F581" i="1"/>
  <c r="F580" i="1"/>
  <c r="E584" i="1"/>
  <c r="E583" i="1"/>
  <c r="E582" i="1"/>
  <c r="E581" i="1"/>
  <c r="E580" i="1"/>
  <c r="H578" i="1"/>
  <c r="H577" i="1"/>
  <c r="H576" i="1"/>
  <c r="H575" i="1" s="1"/>
  <c r="F577" i="1"/>
  <c r="E577" i="1"/>
  <c r="E568" i="1"/>
  <c r="H574" i="1"/>
  <c r="H573" i="1"/>
  <c r="H572" i="1"/>
  <c r="H571" i="1"/>
  <c r="H570" i="1" s="1"/>
  <c r="H569" i="1"/>
  <c r="H568" i="1"/>
  <c r="H566" i="1"/>
  <c r="H565" i="1"/>
  <c r="H564" i="1"/>
  <c r="H563" i="1"/>
  <c r="H562" i="1"/>
  <c r="F574" i="1"/>
  <c r="F573" i="1"/>
  <c r="E574" i="1"/>
  <c r="E573" i="1"/>
  <c r="F572" i="1"/>
  <c r="F571" i="1"/>
  <c r="E572" i="1"/>
  <c r="E571" i="1"/>
  <c r="F569" i="1"/>
  <c r="F568" i="1"/>
  <c r="E569" i="1"/>
  <c r="F566" i="1"/>
  <c r="F565" i="1"/>
  <c r="F564" i="1"/>
  <c r="F563" i="1"/>
  <c r="F562" i="1"/>
  <c r="E566" i="1"/>
  <c r="E565" i="1"/>
  <c r="E564" i="1"/>
  <c r="E563" i="1"/>
  <c r="E562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F559" i="1"/>
  <c r="F558" i="1"/>
  <c r="F557" i="1"/>
  <c r="E559" i="1"/>
  <c r="E558" i="1"/>
  <c r="E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H543" i="1"/>
  <c r="H542" i="1"/>
  <c r="H541" i="1"/>
  <c r="F543" i="1"/>
  <c r="F542" i="1"/>
  <c r="F541" i="1"/>
  <c r="E543" i="1"/>
  <c r="E542" i="1"/>
  <c r="E541" i="1"/>
  <c r="H539" i="1"/>
  <c r="H538" i="1"/>
  <c r="H537" i="1"/>
  <c r="H536" i="1"/>
  <c r="H535" i="1"/>
  <c r="F539" i="1"/>
  <c r="F538" i="1"/>
  <c r="F537" i="1"/>
  <c r="F536" i="1"/>
  <c r="F535" i="1"/>
  <c r="E539" i="1"/>
  <c r="E538" i="1"/>
  <c r="E537" i="1"/>
  <c r="E536" i="1"/>
  <c r="E535" i="1"/>
  <c r="F578" i="1"/>
  <c r="E578" i="1"/>
  <c r="F576" i="1"/>
  <c r="E576" i="1"/>
  <c r="F575" i="1" l="1"/>
  <c r="E567" i="1"/>
  <c r="E594" i="1"/>
  <c r="H534" i="1"/>
  <c r="F561" i="1"/>
  <c r="E570" i="1"/>
  <c r="H561" i="1"/>
  <c r="E575" i="1"/>
  <c r="E534" i="1"/>
  <c r="F534" i="1"/>
  <c r="F540" i="1"/>
  <c r="F567" i="1"/>
  <c r="F560" i="1" s="1"/>
  <c r="F570" i="1"/>
  <c r="F594" i="1"/>
  <c r="E561" i="1"/>
  <c r="E560" i="1" s="1"/>
  <c r="E590" i="1"/>
  <c r="E585" i="1" s="1"/>
  <c r="F590" i="1"/>
  <c r="F586" i="1"/>
  <c r="F585" i="1" s="1"/>
  <c r="F579" i="1" s="1"/>
  <c r="H590" i="1"/>
  <c r="H585" i="1" s="1"/>
  <c r="H540" i="1"/>
  <c r="H586" i="1"/>
  <c r="H604" i="1"/>
  <c r="H598" i="1" s="1"/>
  <c r="H544" i="1"/>
  <c r="H567" i="1"/>
  <c r="H560" i="1" s="1"/>
  <c r="F598" i="1"/>
  <c r="E598" i="1"/>
  <c r="F544" i="1"/>
  <c r="E544" i="1"/>
  <c r="E540" i="1"/>
  <c r="H579" i="1" l="1"/>
  <c r="H614" i="1" s="1"/>
  <c r="F614" i="1"/>
  <c r="E579" i="1"/>
  <c r="E614" i="1" s="1"/>
  <c r="H330" i="1"/>
  <c r="H329" i="1" s="1"/>
  <c r="F330" i="1"/>
  <c r="F329" i="1" s="1"/>
  <c r="E330" i="1"/>
  <c r="H328" i="1"/>
  <c r="H327" i="1"/>
  <c r="H326" i="1"/>
  <c r="H325" i="1"/>
  <c r="H323" i="1"/>
  <c r="H322" i="1" s="1"/>
  <c r="H321" i="1"/>
  <c r="H320" i="1" s="1"/>
  <c r="F328" i="1"/>
  <c r="F327" i="1"/>
  <c r="F326" i="1"/>
  <c r="E328" i="1"/>
  <c r="E324" i="1" s="1"/>
  <c r="E327" i="1"/>
  <c r="E326" i="1"/>
  <c r="E325" i="1"/>
  <c r="F325" i="1"/>
  <c r="F324" i="1" s="1"/>
  <c r="F323" i="1"/>
  <c r="E323" i="1"/>
  <c r="E322" i="1" s="1"/>
  <c r="F321" i="1"/>
  <c r="E321" i="1"/>
  <c r="E320" i="1" s="1"/>
  <c r="H318" i="1"/>
  <c r="H317" i="1"/>
  <c r="H316" i="1"/>
  <c r="H315" i="1"/>
  <c r="F318" i="1"/>
  <c r="F317" i="1"/>
  <c r="F316" i="1"/>
  <c r="F315" i="1" s="1"/>
  <c r="E318" i="1"/>
  <c r="E315" i="1" s="1"/>
  <c r="E317" i="1"/>
  <c r="E316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F314" i="1"/>
  <c r="F313" i="1"/>
  <c r="F312" i="1"/>
  <c r="E314" i="1"/>
  <c r="E313" i="1"/>
  <c r="E312" i="1"/>
  <c r="F311" i="1"/>
  <c r="E311" i="1"/>
  <c r="F310" i="1"/>
  <c r="E310" i="1"/>
  <c r="F309" i="1"/>
  <c r="F308" i="1"/>
  <c r="E309" i="1"/>
  <c r="E308" i="1"/>
  <c r="F307" i="1"/>
  <c r="F306" i="1"/>
  <c r="F305" i="1"/>
  <c r="F304" i="1"/>
  <c r="F303" i="1"/>
  <c r="F302" i="1"/>
  <c r="F301" i="1" s="1"/>
  <c r="E307" i="1"/>
  <c r="E306" i="1"/>
  <c r="E305" i="1"/>
  <c r="E304" i="1"/>
  <c r="E301" i="1" s="1"/>
  <c r="E303" i="1"/>
  <c r="E302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1" i="1" s="1"/>
  <c r="H282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 s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F235" i="1"/>
  <c r="E235" i="1"/>
  <c r="F234" i="1"/>
  <c r="E234" i="1"/>
  <c r="F233" i="1"/>
  <c r="F232" i="1"/>
  <c r="F231" i="1"/>
  <c r="F230" i="1"/>
  <c r="E233" i="1"/>
  <c r="E232" i="1"/>
  <c r="E231" i="1"/>
  <c r="E230" i="1"/>
  <c r="F229" i="1"/>
  <c r="E229" i="1"/>
  <c r="F228" i="1"/>
  <c r="E228" i="1"/>
  <c r="F227" i="1"/>
  <c r="E227" i="1"/>
  <c r="F226" i="1"/>
  <c r="F225" i="1"/>
  <c r="F224" i="1"/>
  <c r="F223" i="1"/>
  <c r="E226" i="1"/>
  <c r="E225" i="1"/>
  <c r="E224" i="1"/>
  <c r="E223" i="1"/>
  <c r="H220" i="1"/>
  <c r="H219" i="1"/>
  <c r="F220" i="1"/>
  <c r="F219" i="1"/>
  <c r="E220" i="1"/>
  <c r="E219" i="1"/>
  <c r="E218" i="1" s="1"/>
  <c r="H217" i="1"/>
  <c r="H216" i="1"/>
  <c r="H215" i="1"/>
  <c r="F217" i="1"/>
  <c r="F216" i="1"/>
  <c r="F215" i="1"/>
  <c r="E217" i="1"/>
  <c r="E216" i="1"/>
  <c r="E215" i="1"/>
  <c r="H213" i="1"/>
  <c r="H212" i="1"/>
  <c r="F213" i="1"/>
  <c r="F212" i="1"/>
  <c r="E213" i="1"/>
  <c r="E212" i="1"/>
  <c r="H209" i="1"/>
  <c r="H208" i="1"/>
  <c r="H207" i="1"/>
  <c r="H206" i="1"/>
  <c r="H205" i="1"/>
  <c r="H204" i="1"/>
  <c r="F209" i="1"/>
  <c r="F208" i="1"/>
  <c r="F207" i="1"/>
  <c r="F206" i="1"/>
  <c r="F205" i="1"/>
  <c r="F204" i="1"/>
  <c r="E209" i="1"/>
  <c r="E208" i="1"/>
  <c r="E207" i="1"/>
  <c r="E206" i="1"/>
  <c r="E205" i="1"/>
  <c r="E204" i="1"/>
  <c r="H202" i="1"/>
  <c r="H201" i="1"/>
  <c r="H200" i="1"/>
  <c r="H199" i="1"/>
  <c r="F202" i="1"/>
  <c r="F201" i="1"/>
  <c r="F199" i="1"/>
  <c r="F200" i="1"/>
  <c r="E202" i="1"/>
  <c r="E201" i="1"/>
  <c r="E200" i="1"/>
  <c r="E199" i="1"/>
  <c r="H197" i="1"/>
  <c r="H196" i="1"/>
  <c r="H195" i="1"/>
  <c r="H194" i="1"/>
  <c r="F197" i="1"/>
  <c r="F196" i="1"/>
  <c r="F195" i="1"/>
  <c r="F194" i="1"/>
  <c r="E197" i="1"/>
  <c r="E196" i="1"/>
  <c r="E195" i="1"/>
  <c r="E194" i="1"/>
  <c r="H192" i="1"/>
  <c r="H191" i="1"/>
  <c r="H190" i="1"/>
  <c r="H189" i="1"/>
  <c r="F192" i="1"/>
  <c r="F191" i="1"/>
  <c r="F190" i="1"/>
  <c r="F189" i="1"/>
  <c r="E192" i="1"/>
  <c r="E191" i="1"/>
  <c r="E190" i="1"/>
  <c r="E189" i="1"/>
  <c r="H187" i="1"/>
  <c r="F187" i="1"/>
  <c r="E187" i="1"/>
  <c r="H186" i="1"/>
  <c r="H185" i="1"/>
  <c r="H184" i="1"/>
  <c r="F186" i="1"/>
  <c r="F185" i="1"/>
  <c r="F184" i="1"/>
  <c r="E186" i="1"/>
  <c r="E185" i="1"/>
  <c r="E184" i="1"/>
  <c r="H182" i="1"/>
  <c r="H181" i="1"/>
  <c r="H180" i="1"/>
  <c r="H179" i="1"/>
  <c r="F182" i="1"/>
  <c r="F181" i="1"/>
  <c r="F180" i="1"/>
  <c r="F179" i="1"/>
  <c r="E182" i="1"/>
  <c r="E181" i="1"/>
  <c r="E180" i="1"/>
  <c r="E179" i="1"/>
  <c r="H176" i="1"/>
  <c r="H175" i="1"/>
  <c r="H174" i="1"/>
  <c r="H173" i="1"/>
  <c r="H172" i="1"/>
  <c r="H171" i="1"/>
  <c r="H170" i="1"/>
  <c r="F176" i="1"/>
  <c r="F173" i="1"/>
  <c r="F172" i="1"/>
  <c r="F171" i="1"/>
  <c r="F170" i="1"/>
  <c r="F175" i="1"/>
  <c r="F174" i="1"/>
  <c r="E176" i="1"/>
  <c r="E175" i="1"/>
  <c r="E174" i="1"/>
  <c r="E173" i="1"/>
  <c r="E172" i="1"/>
  <c r="E171" i="1"/>
  <c r="E170" i="1"/>
  <c r="H168" i="1"/>
  <c r="H167" i="1"/>
  <c r="H166" i="1" s="1"/>
  <c r="F168" i="1"/>
  <c r="F167" i="1"/>
  <c r="F166" i="1" s="1"/>
  <c r="E168" i="1"/>
  <c r="E167" i="1"/>
  <c r="E166" i="1" s="1"/>
  <c r="H165" i="1"/>
  <c r="H164" i="1"/>
  <c r="H163" i="1"/>
  <c r="F165" i="1"/>
  <c r="F164" i="1"/>
  <c r="F163" i="1"/>
  <c r="E165" i="1"/>
  <c r="E164" i="1"/>
  <c r="E163" i="1"/>
  <c r="H161" i="1"/>
  <c r="H160" i="1"/>
  <c r="H159" i="1"/>
  <c r="H158" i="1"/>
  <c r="H157" i="1"/>
  <c r="H156" i="1"/>
  <c r="H155" i="1"/>
  <c r="F161" i="1"/>
  <c r="E161" i="1"/>
  <c r="F159" i="1"/>
  <c r="F158" i="1"/>
  <c r="F157" i="1"/>
  <c r="F156" i="1"/>
  <c r="F155" i="1"/>
  <c r="E159" i="1"/>
  <c r="E158" i="1"/>
  <c r="E157" i="1"/>
  <c r="E156" i="1"/>
  <c r="E155" i="1"/>
  <c r="H153" i="1"/>
  <c r="H152" i="1"/>
  <c r="H151" i="1"/>
  <c r="H150" i="1"/>
  <c r="H149" i="1"/>
  <c r="H148" i="1"/>
  <c r="H147" i="1"/>
  <c r="F153" i="1"/>
  <c r="F152" i="1"/>
  <c r="F151" i="1"/>
  <c r="F150" i="1"/>
  <c r="F149" i="1"/>
  <c r="F148" i="1"/>
  <c r="F147" i="1"/>
  <c r="E153" i="1"/>
  <c r="E152" i="1"/>
  <c r="E151" i="1"/>
  <c r="E150" i="1"/>
  <c r="E149" i="1"/>
  <c r="E148" i="1"/>
  <c r="E147" i="1"/>
  <c r="E329" i="1"/>
  <c r="F322" i="1"/>
  <c r="F320" i="1"/>
  <c r="F160" i="1"/>
  <c r="E160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4" i="1"/>
  <c r="F344" i="1"/>
  <c r="H344" i="1"/>
  <c r="H343" i="1" s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4" i="1"/>
  <c r="E353" i="1" s="1"/>
  <c r="F354" i="1"/>
  <c r="F353" i="1" s="1"/>
  <c r="H354" i="1"/>
  <c r="H353" i="1" s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7" i="1"/>
  <c r="F367" i="1"/>
  <c r="H367" i="1"/>
  <c r="E368" i="1"/>
  <c r="F368" i="1"/>
  <c r="H368" i="1"/>
  <c r="E370" i="1"/>
  <c r="E369" i="1" s="1"/>
  <c r="F370" i="1"/>
  <c r="F369" i="1" s="1"/>
  <c r="H370" i="1"/>
  <c r="H369" i="1" s="1"/>
  <c r="E373" i="1"/>
  <c r="E372" i="1" s="1"/>
  <c r="F373" i="1"/>
  <c r="F372" i="1" s="1"/>
  <c r="H373" i="1"/>
  <c r="H372" i="1" s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80" i="1"/>
  <c r="E379" i="1" s="1"/>
  <c r="F380" i="1"/>
  <c r="F379" i="1" s="1"/>
  <c r="H380" i="1"/>
  <c r="H379" i="1" s="1"/>
  <c r="E382" i="1"/>
  <c r="F382" i="1"/>
  <c r="H382" i="1"/>
  <c r="E383" i="1"/>
  <c r="F383" i="1"/>
  <c r="H383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7" i="1"/>
  <c r="F407" i="1"/>
  <c r="H407" i="1"/>
  <c r="E408" i="1"/>
  <c r="F408" i="1"/>
  <c r="H408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5" i="1"/>
  <c r="F435" i="1"/>
  <c r="H435" i="1"/>
  <c r="E436" i="1"/>
  <c r="F436" i="1"/>
  <c r="H436" i="1"/>
  <c r="E437" i="1"/>
  <c r="F437" i="1"/>
  <c r="H437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4" i="1"/>
  <c r="E443" i="1" s="1"/>
  <c r="F444" i="1"/>
  <c r="F443" i="1" s="1"/>
  <c r="H444" i="1"/>
  <c r="H443" i="1" s="1"/>
  <c r="E447" i="1"/>
  <c r="E446" i="1" s="1"/>
  <c r="E445" i="1" s="1"/>
  <c r="F447" i="1"/>
  <c r="F446" i="1" s="1"/>
  <c r="F445" i="1" s="1"/>
  <c r="H447" i="1"/>
  <c r="H446" i="1" s="1"/>
  <c r="H445" i="1" s="1"/>
  <c r="E451" i="1"/>
  <c r="E450" i="1" s="1"/>
  <c r="E449" i="1" s="1"/>
  <c r="F451" i="1"/>
  <c r="F450" i="1" s="1"/>
  <c r="F449" i="1" s="1"/>
  <c r="H451" i="1"/>
  <c r="H450" i="1" s="1"/>
  <c r="H449" i="1" s="1"/>
  <c r="E454" i="1"/>
  <c r="F454" i="1"/>
  <c r="H454" i="1"/>
  <c r="E455" i="1"/>
  <c r="F455" i="1"/>
  <c r="H455" i="1"/>
  <c r="E456" i="1"/>
  <c r="F456" i="1"/>
  <c r="H456" i="1"/>
  <c r="E459" i="1"/>
  <c r="E458" i="1" s="1"/>
  <c r="E457" i="1" s="1"/>
  <c r="F459" i="1"/>
  <c r="F458" i="1" s="1"/>
  <c r="F457" i="1" s="1"/>
  <c r="H459" i="1"/>
  <c r="H458" i="1" s="1"/>
  <c r="H457" i="1" s="1"/>
  <c r="E462" i="1"/>
  <c r="E461" i="1" s="1"/>
  <c r="F462" i="1"/>
  <c r="F461" i="1" s="1"/>
  <c r="H462" i="1"/>
  <c r="H461" i="1" s="1"/>
  <c r="E464" i="1"/>
  <c r="F464" i="1"/>
  <c r="H464" i="1"/>
  <c r="E465" i="1"/>
  <c r="F465" i="1"/>
  <c r="H465" i="1"/>
  <c r="E467" i="1"/>
  <c r="F467" i="1"/>
  <c r="H467" i="1"/>
  <c r="E468" i="1"/>
  <c r="F468" i="1"/>
  <c r="H468" i="1"/>
  <c r="E470" i="1"/>
  <c r="F470" i="1"/>
  <c r="H470" i="1"/>
  <c r="E471" i="1"/>
  <c r="F471" i="1"/>
  <c r="H471" i="1"/>
  <c r="E472" i="1"/>
  <c r="F472" i="1"/>
  <c r="H472" i="1"/>
  <c r="E474" i="1"/>
  <c r="E473" i="1" s="1"/>
  <c r="F474" i="1"/>
  <c r="F473" i="1" s="1"/>
  <c r="H474" i="1"/>
  <c r="H473" i="1" s="1"/>
  <c r="E476" i="1"/>
  <c r="F476" i="1"/>
  <c r="H476" i="1"/>
  <c r="E477" i="1"/>
  <c r="F477" i="1"/>
  <c r="H477" i="1"/>
  <c r="E479" i="1"/>
  <c r="E478" i="1" s="1"/>
  <c r="F479" i="1"/>
  <c r="F478" i="1" s="1"/>
  <c r="H479" i="1"/>
  <c r="H478" i="1" s="1"/>
  <c r="E481" i="1"/>
  <c r="E480" i="1" s="1"/>
  <c r="F481" i="1"/>
  <c r="F480" i="1" s="1"/>
  <c r="H481" i="1"/>
  <c r="H480" i="1" s="1"/>
  <c r="E485" i="1"/>
  <c r="F485" i="1"/>
  <c r="H485" i="1"/>
  <c r="E486" i="1"/>
  <c r="F486" i="1"/>
  <c r="H486" i="1"/>
  <c r="E487" i="1"/>
  <c r="F487" i="1"/>
  <c r="H487" i="1"/>
  <c r="E490" i="1"/>
  <c r="F490" i="1"/>
  <c r="H490" i="1"/>
  <c r="E491" i="1"/>
  <c r="F491" i="1"/>
  <c r="H491" i="1"/>
  <c r="E492" i="1"/>
  <c r="F492" i="1"/>
  <c r="H492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2" i="1"/>
  <c r="F502" i="1"/>
  <c r="H502" i="1"/>
  <c r="E503" i="1"/>
  <c r="F503" i="1"/>
  <c r="H503" i="1"/>
  <c r="E504" i="1"/>
  <c r="F504" i="1"/>
  <c r="H504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2" i="1"/>
  <c r="E511" i="1" s="1"/>
  <c r="F512" i="1"/>
  <c r="F511" i="1" s="1"/>
  <c r="H512" i="1"/>
  <c r="H511" i="1" s="1"/>
  <c r="E515" i="1"/>
  <c r="E514" i="1" s="1"/>
  <c r="F515" i="1"/>
  <c r="F514" i="1" s="1"/>
  <c r="H515" i="1"/>
  <c r="H514" i="1" s="1"/>
  <c r="E517" i="1"/>
  <c r="E516" i="1" s="1"/>
  <c r="F517" i="1"/>
  <c r="F516" i="1" s="1"/>
  <c r="H517" i="1"/>
  <c r="H516" i="1" s="1"/>
  <c r="H146" i="1" l="1"/>
  <c r="F162" i="1"/>
  <c r="F183" i="1"/>
  <c r="E188" i="1"/>
  <c r="F214" i="1"/>
  <c r="F169" i="1"/>
  <c r="E178" i="1"/>
  <c r="H178" i="1"/>
  <c r="E183" i="1"/>
  <c r="E193" i="1"/>
  <c r="F193" i="1"/>
  <c r="F203" i="1"/>
  <c r="H203" i="1"/>
  <c r="F211" i="1"/>
  <c r="E214" i="1"/>
  <c r="F218" i="1"/>
  <c r="H169" i="1"/>
  <c r="F178" i="1"/>
  <c r="F198" i="1"/>
  <c r="F146" i="1"/>
  <c r="H162" i="1"/>
  <c r="H183" i="1"/>
  <c r="E211" i="1"/>
  <c r="H211" i="1"/>
  <c r="H214" i="1"/>
  <c r="H218" i="1"/>
  <c r="E281" i="1"/>
  <c r="H188" i="1"/>
  <c r="E222" i="1"/>
  <c r="H154" i="1"/>
  <c r="H222" i="1"/>
  <c r="H236" i="1"/>
  <c r="H221" i="1" s="1"/>
  <c r="H193" i="1"/>
  <c r="H198" i="1"/>
  <c r="H324" i="1"/>
  <c r="H319" i="1"/>
  <c r="F236" i="1"/>
  <c r="E236" i="1"/>
  <c r="F222" i="1"/>
  <c r="E210" i="1"/>
  <c r="E203" i="1"/>
  <c r="E198" i="1"/>
  <c r="F188" i="1"/>
  <c r="E169" i="1"/>
  <c r="E162" i="1"/>
  <c r="F154" i="1"/>
  <c r="E154" i="1"/>
  <c r="E146" i="1"/>
  <c r="E319" i="1"/>
  <c r="F319" i="1"/>
  <c r="H484" i="1"/>
  <c r="H483" i="1" s="1"/>
  <c r="H475" i="1"/>
  <c r="F466" i="1"/>
  <c r="E466" i="1"/>
  <c r="H463" i="1"/>
  <c r="F406" i="1"/>
  <c r="F366" i="1"/>
  <c r="F365" i="1" s="1"/>
  <c r="E501" i="1"/>
  <c r="E500" i="1" s="1"/>
  <c r="H466" i="1"/>
  <c r="F438" i="1"/>
  <c r="H438" i="1"/>
  <c r="F434" i="1"/>
  <c r="H342" i="1"/>
  <c r="H341" i="1" s="1"/>
  <c r="E489" i="1"/>
  <c r="E488" i="1" s="1"/>
  <c r="H469" i="1"/>
  <c r="F463" i="1"/>
  <c r="H419" i="1"/>
  <c r="H418" i="1" s="1"/>
  <c r="F506" i="1"/>
  <c r="F505" i="1" s="1"/>
  <c r="H506" i="1"/>
  <c r="H505" i="1" s="1"/>
  <c r="H411" i="1"/>
  <c r="H410" i="1" s="1"/>
  <c r="E411" i="1"/>
  <c r="E410" i="1" s="1"/>
  <c r="F356" i="1"/>
  <c r="F355" i="1" s="1"/>
  <c r="E356" i="1"/>
  <c r="E355" i="1" s="1"/>
  <c r="E469" i="1"/>
  <c r="E463" i="1"/>
  <c r="E453" i="1"/>
  <c r="E452" i="1" s="1"/>
  <c r="E406" i="1"/>
  <c r="E381" i="1"/>
  <c r="E374" i="1"/>
  <c r="E333" i="1"/>
  <c r="E332" i="1" s="1"/>
  <c r="E513" i="1"/>
  <c r="H501" i="1"/>
  <c r="H500" i="1" s="1"/>
  <c r="F494" i="1"/>
  <c r="F493" i="1" s="1"/>
  <c r="H494" i="1"/>
  <c r="H493" i="1" s="1"/>
  <c r="F484" i="1"/>
  <c r="F483" i="1" s="1"/>
  <c r="E475" i="1"/>
  <c r="H434" i="1"/>
  <c r="H428" i="1"/>
  <c r="E419" i="1"/>
  <c r="E418" i="1" s="1"/>
  <c r="F398" i="1"/>
  <c r="H398" i="1"/>
  <c r="H381" i="1"/>
  <c r="F381" i="1"/>
  <c r="H366" i="1"/>
  <c r="H365" i="1" s="1"/>
  <c r="E343" i="1"/>
  <c r="E342" i="1" s="1"/>
  <c r="E341" i="1" s="1"/>
  <c r="H333" i="1"/>
  <c r="H332" i="1" s="1"/>
  <c r="F333" i="1"/>
  <c r="F332" i="1" s="1"/>
  <c r="E506" i="1"/>
  <c r="E505" i="1" s="1"/>
  <c r="F501" i="1"/>
  <c r="F500" i="1" s="1"/>
  <c r="H489" i="1"/>
  <c r="H488" i="1" s="1"/>
  <c r="E484" i="1"/>
  <c r="E483" i="1" s="1"/>
  <c r="F469" i="1"/>
  <c r="E438" i="1"/>
  <c r="F411" i="1"/>
  <c r="F410" i="1" s="1"/>
  <c r="F374" i="1"/>
  <c r="F371" i="1" s="1"/>
  <c r="H374" i="1"/>
  <c r="H356" i="1"/>
  <c r="H355" i="1" s="1"/>
  <c r="E494" i="1"/>
  <c r="E493" i="1" s="1"/>
  <c r="F489" i="1"/>
  <c r="F488" i="1" s="1"/>
  <c r="F475" i="1"/>
  <c r="H453" i="1"/>
  <c r="H452" i="1" s="1"/>
  <c r="F453" i="1"/>
  <c r="F452" i="1" s="1"/>
  <c r="E434" i="1"/>
  <c r="F428" i="1"/>
  <c r="E428" i="1"/>
  <c r="F419" i="1"/>
  <c r="F418" i="1" s="1"/>
  <c r="H406" i="1"/>
  <c r="E398" i="1"/>
  <c r="E385" i="1"/>
  <c r="E384" i="1" s="1"/>
  <c r="H385" i="1"/>
  <c r="H384" i="1" s="1"/>
  <c r="F385" i="1"/>
  <c r="F384" i="1" s="1"/>
  <c r="E366" i="1"/>
  <c r="E365" i="1" s="1"/>
  <c r="F343" i="1"/>
  <c r="F342" i="1" s="1"/>
  <c r="F341" i="1" s="1"/>
  <c r="F513" i="1"/>
  <c r="H513" i="1"/>
  <c r="H532" i="1"/>
  <c r="F532" i="1"/>
  <c r="E532" i="1"/>
  <c r="H531" i="1"/>
  <c r="F531" i="1"/>
  <c r="E531" i="1"/>
  <c r="H529" i="1"/>
  <c r="H528" i="1" s="1"/>
  <c r="F529" i="1"/>
  <c r="F528" i="1" s="1"/>
  <c r="E529" i="1"/>
  <c r="E528" i="1" s="1"/>
  <c r="H527" i="1"/>
  <c r="H526" i="1" s="1"/>
  <c r="F527" i="1"/>
  <c r="F526" i="1" s="1"/>
  <c r="E527" i="1"/>
  <c r="E526" i="1" s="1"/>
  <c r="H525" i="1"/>
  <c r="F525" i="1"/>
  <c r="E525" i="1"/>
  <c r="H524" i="1"/>
  <c r="F524" i="1"/>
  <c r="E524" i="1"/>
  <c r="H523" i="1"/>
  <c r="F523" i="1"/>
  <c r="E523" i="1"/>
  <c r="H520" i="1"/>
  <c r="H519" i="1" s="1"/>
  <c r="H518" i="1" s="1"/>
  <c r="F520" i="1"/>
  <c r="F519" i="1" s="1"/>
  <c r="F518" i="1" s="1"/>
  <c r="E520" i="1"/>
  <c r="E519" i="1" s="1"/>
  <c r="E518" i="1" s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7" i="1"/>
  <c r="F137" i="1"/>
  <c r="E137" i="1"/>
  <c r="H136" i="1"/>
  <c r="F136" i="1"/>
  <c r="E136" i="1"/>
  <c r="H135" i="1"/>
  <c r="F135" i="1"/>
  <c r="E135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27" i="1"/>
  <c r="H126" i="1" s="1"/>
  <c r="F127" i="1"/>
  <c r="F126" i="1" s="1"/>
  <c r="E127" i="1"/>
  <c r="E126" i="1" s="1"/>
  <c r="H125" i="1"/>
  <c r="F125" i="1"/>
  <c r="E125" i="1"/>
  <c r="H124" i="1"/>
  <c r="F124" i="1"/>
  <c r="E124" i="1"/>
  <c r="H123" i="1"/>
  <c r="F123" i="1"/>
  <c r="E123" i="1"/>
  <c r="H121" i="1"/>
  <c r="F121" i="1"/>
  <c r="E121" i="1"/>
  <c r="H120" i="1"/>
  <c r="F120" i="1"/>
  <c r="E120" i="1"/>
  <c r="H119" i="1"/>
  <c r="F119" i="1"/>
  <c r="E119" i="1"/>
  <c r="H117" i="1"/>
  <c r="F117" i="1"/>
  <c r="E117" i="1"/>
  <c r="H116" i="1"/>
  <c r="F116" i="1"/>
  <c r="E116" i="1"/>
  <c r="H114" i="1"/>
  <c r="F114" i="1"/>
  <c r="E114" i="1"/>
  <c r="H113" i="1"/>
  <c r="F113" i="1"/>
  <c r="E113" i="1"/>
  <c r="H112" i="1"/>
  <c r="F112" i="1"/>
  <c r="E112" i="1"/>
  <c r="H110" i="1"/>
  <c r="F110" i="1"/>
  <c r="E110" i="1"/>
  <c r="H109" i="1"/>
  <c r="F109" i="1"/>
  <c r="E109" i="1"/>
  <c r="H108" i="1"/>
  <c r="F108" i="1"/>
  <c r="E108" i="1"/>
  <c r="E107" i="1"/>
  <c r="H106" i="1"/>
  <c r="F106" i="1"/>
  <c r="H105" i="1"/>
  <c r="F105" i="1"/>
  <c r="E105" i="1"/>
  <c r="H104" i="1"/>
  <c r="F104" i="1"/>
  <c r="E104" i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7" i="1"/>
  <c r="F97" i="1"/>
  <c r="E97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89" i="1"/>
  <c r="F89" i="1"/>
  <c r="E89" i="1"/>
  <c r="H88" i="1"/>
  <c r="F88" i="1"/>
  <c r="E88" i="1"/>
  <c r="H87" i="1"/>
  <c r="F87" i="1"/>
  <c r="E87" i="1"/>
  <c r="H85" i="1"/>
  <c r="F85" i="1"/>
  <c r="E85" i="1"/>
  <c r="H84" i="1"/>
  <c r="F84" i="1"/>
  <c r="E84" i="1"/>
  <c r="H83" i="1"/>
  <c r="F83" i="1"/>
  <c r="E83" i="1"/>
  <c r="H82" i="1"/>
  <c r="F82" i="1"/>
  <c r="E82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2" i="1"/>
  <c r="F72" i="1"/>
  <c r="E72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7" i="1"/>
  <c r="F37" i="1"/>
  <c r="E37" i="1"/>
  <c r="H36" i="1"/>
  <c r="F36" i="1"/>
  <c r="E36" i="1"/>
  <c r="H35" i="1"/>
  <c r="F35" i="1"/>
  <c r="E35" i="1"/>
  <c r="H33" i="1"/>
  <c r="F33" i="1"/>
  <c r="E33" i="1"/>
  <c r="H32" i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2" i="1"/>
  <c r="F22" i="1"/>
  <c r="E22" i="1"/>
  <c r="H21" i="1"/>
  <c r="F21" i="1"/>
  <c r="E21" i="1"/>
  <c r="H19" i="1"/>
  <c r="F19" i="1"/>
  <c r="E19" i="1"/>
  <c r="H18" i="1"/>
  <c r="F18" i="1"/>
  <c r="E18" i="1"/>
  <c r="H16" i="1"/>
  <c r="F16" i="1"/>
  <c r="E16" i="1"/>
  <c r="H15" i="1"/>
  <c r="F15" i="1"/>
  <c r="E15" i="1"/>
  <c r="H14" i="1"/>
  <c r="F14" i="1"/>
  <c r="E14" i="1"/>
  <c r="H11" i="1"/>
  <c r="F11" i="1"/>
  <c r="E11" i="1"/>
  <c r="H10" i="1"/>
  <c r="F10" i="1"/>
  <c r="E10" i="1"/>
  <c r="H9" i="1"/>
  <c r="F9" i="1"/>
  <c r="E9" i="1"/>
  <c r="H8" i="1"/>
  <c r="F8" i="1"/>
  <c r="E8" i="1"/>
  <c r="H7" i="1"/>
  <c r="F7" i="1"/>
  <c r="E7" i="1"/>
  <c r="F177" i="1" l="1"/>
  <c r="F145" i="1"/>
  <c r="H210" i="1"/>
  <c r="E177" i="1"/>
  <c r="H177" i="1"/>
  <c r="H145" i="1"/>
  <c r="F210" i="1"/>
  <c r="F17" i="1"/>
  <c r="E221" i="1"/>
  <c r="F221" i="1"/>
  <c r="E145" i="1"/>
  <c r="E86" i="1"/>
  <c r="F134" i="1"/>
  <c r="F133" i="1" s="1"/>
  <c r="H427" i="1"/>
  <c r="E55" i="1"/>
  <c r="E397" i="1"/>
  <c r="F460" i="1"/>
  <c r="E48" i="1"/>
  <c r="E47" i="1" s="1"/>
  <c r="H115" i="1"/>
  <c r="F427" i="1"/>
  <c r="F448" i="1" s="1"/>
  <c r="F482" i="1"/>
  <c r="F397" i="1"/>
  <c r="F409" i="1" s="1"/>
  <c r="E371" i="1"/>
  <c r="F118" i="1"/>
  <c r="F115" i="1"/>
  <c r="H397" i="1"/>
  <c r="H460" i="1"/>
  <c r="H482" i="1" s="1"/>
  <c r="E34" i="1"/>
  <c r="F86" i="1"/>
  <c r="H530" i="1"/>
  <c r="E460" i="1"/>
  <c r="E482" i="1" s="1"/>
  <c r="E115" i="1"/>
  <c r="F138" i="1"/>
  <c r="E13" i="1"/>
  <c r="H34" i="1"/>
  <c r="F103" i="1"/>
  <c r="F122" i="1"/>
  <c r="E128" i="1"/>
  <c r="F128" i="1"/>
  <c r="H448" i="1"/>
  <c r="H371" i="1"/>
  <c r="H409" i="1" s="1"/>
  <c r="F13" i="1"/>
  <c r="H6" i="1"/>
  <c r="E522" i="1"/>
  <c r="E521" i="1" s="1"/>
  <c r="H522" i="1"/>
  <c r="H521" i="1" s="1"/>
  <c r="H533" i="1" s="1"/>
  <c r="E427" i="1"/>
  <c r="E448" i="1" s="1"/>
  <c r="H13" i="1"/>
  <c r="E17" i="1"/>
  <c r="E23" i="1"/>
  <c r="E20" i="1" s="1"/>
  <c r="F23" i="1"/>
  <c r="F20" i="1" s="1"/>
  <c r="F34" i="1"/>
  <c r="E90" i="1"/>
  <c r="E81" i="1" s="1"/>
  <c r="F90" i="1"/>
  <c r="H90" i="1"/>
  <c r="E106" i="1"/>
  <c r="E103" i="1" s="1"/>
  <c r="H122" i="1"/>
  <c r="E122" i="1"/>
  <c r="E134" i="1"/>
  <c r="E133" i="1" s="1"/>
  <c r="H138" i="1"/>
  <c r="F522" i="1"/>
  <c r="F521" i="1" s="1"/>
  <c r="E6" i="1"/>
  <c r="F6" i="1"/>
  <c r="F48" i="1"/>
  <c r="F47" i="1" s="1"/>
  <c r="H48" i="1"/>
  <c r="H47" i="1" s="1"/>
  <c r="F55" i="1"/>
  <c r="H55" i="1"/>
  <c r="H86" i="1"/>
  <c r="H103" i="1"/>
  <c r="H128" i="1"/>
  <c r="H17" i="1"/>
  <c r="H23" i="1"/>
  <c r="H20" i="1" s="1"/>
  <c r="H118" i="1"/>
  <c r="E118" i="1"/>
  <c r="H134" i="1"/>
  <c r="H133" i="1" s="1"/>
  <c r="E138" i="1"/>
  <c r="E530" i="1"/>
  <c r="F530" i="1"/>
  <c r="F331" i="1" l="1"/>
  <c r="E409" i="1"/>
  <c r="H331" i="1"/>
  <c r="F111" i="1"/>
  <c r="E331" i="1"/>
  <c r="E111" i="1"/>
  <c r="H12" i="1"/>
  <c r="H54" i="1" s="1"/>
  <c r="E533" i="1"/>
  <c r="H111" i="1"/>
  <c r="F81" i="1"/>
  <c r="F12" i="1"/>
  <c r="F54" i="1" s="1"/>
  <c r="F533" i="1"/>
  <c r="E12" i="1"/>
  <c r="E54" i="1" s="1"/>
  <c r="E144" i="1"/>
  <c r="H81" i="1"/>
  <c r="H144" i="1" l="1"/>
  <c r="F144" i="1"/>
</calcChain>
</file>

<file path=xl/sharedStrings.xml><?xml version="1.0" encoding="utf-8"?>
<sst xmlns="http://schemas.openxmlformats.org/spreadsheetml/2006/main" count="2771" uniqueCount="1222">
  <si>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</si>
  <si>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</si>
  <si>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</si>
  <si>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</si>
  <si>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</si>
  <si>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</si>
  <si>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</si>
  <si>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</si>
  <si>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</si>
  <si>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Объем финансирования на 2019 год    (тыс. руб.)</t>
  </si>
  <si>
    <t>Подпрограмма 1</t>
  </si>
  <si>
    <t>Развитие малого и среднего предпринимательства</t>
  </si>
  <si>
    <t>Основное мероприятие 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</si>
  <si>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</si>
  <si>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Основное мероприятие 2.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</si>
  <si>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</si>
  <si>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Основное мероприятие 3.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</si>
  <si>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</si>
  <si>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 xml:space="preserve">Финансирование не предусмотрено
</t>
  </si>
  <si>
    <t>Основное мероприятие 4.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</si>
  <si>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</si>
  <si>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Основное мероприятие 5.</t>
  </si>
  <si>
    <t>Конкурсный отбор инновационных проектов</t>
  </si>
  <si>
    <t>Подпрограмма 2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</si>
  <si>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</si>
  <si>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</si>
  <si>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>Мероприятие 1.1.</t>
  </si>
  <si>
    <t>Участие в выставочно-ярмарочных мероприятиях, форумах, направленных на повышение конкурентоспособности и инвестиционной привлекательности</t>
  </si>
  <si>
    <t>Мероприятие 1.2.</t>
  </si>
  <si>
    <t>Формирование реестра реализуемых инвестиционных проектов, ввод информации в систему ЕАС ПИП</t>
  </si>
  <si>
    <t>Мероприятие 1.3.</t>
  </si>
  <si>
    <t>Создание многопрофильных индустриальных парков, индустриальных парков, технологических парков, промышленных площадок</t>
  </si>
  <si>
    <t>Проведение мероприятий по увеличению размера заработной платы на территории городского округа Реутов</t>
  </si>
  <si>
    <t>Мероприятие 2.1.</t>
  </si>
  <si>
    <t>Мониторинг динамики размера заработной платы на действующих предприятиях</t>
  </si>
  <si>
    <t>Мероприятие 2.2.</t>
  </si>
  <si>
    <t>Содействие увеличению размера реальной заработной платы в соответствии с постановлением Правительства РФ от 30.11.2016 №118 в рамках трёхстороннего соглашения</t>
  </si>
  <si>
    <t>Проведение мероприятий по увеличению рабочих мест на территории городского округа Реутов</t>
  </si>
  <si>
    <t>Мероприятие 3.1.</t>
  </si>
  <si>
    <t>Осуществление взаимодействия с потенциальными инвесторами и действующими организациями по созданию новых рабочих мест</t>
  </si>
  <si>
    <t>Мероприятие 3.2.</t>
  </si>
  <si>
    <t>Проведение мероприятий по информированию бизнес сообщества о мерах поддержки инвесторов при реализации инвестиционных проектов</t>
  </si>
  <si>
    <t>Мероприятие 3.3.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</si>
  <si>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</si>
  <si>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3.3.1.</t>
  </si>
  <si>
    <t>Погашение кредиторской задолженности по мероприятию 2016 года "Разработка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года"</t>
  </si>
  <si>
    <t>Мероприятие 3.3.2.</t>
  </si>
  <si>
    <t>Оснащение детского сада на 210 мест с бассейном по адресу:  г. Реутов, ул. Гагарина, д.  20</t>
  </si>
  <si>
    <t>Мероприятие 3.3.3.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</si>
  <si>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</si>
  <si>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3.3.4.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</si>
  <si>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</si>
  <si>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3.3.5.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</si>
  <si>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</si>
  <si>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Мероприятие 3.3.6.</t>
  </si>
  <si>
    <t>Капитальный ремонт здания муниципального автономного образовательного учреждения "Лицей" по адресу: Московская область, г. Реутов, ул. Южная, д. 8</t>
  </si>
  <si>
    <t>Мероприятие 3.3.7.</t>
  </si>
  <si>
    <t>Оснащение инженерных классов в муниципальном автономном образовательном учреждении "Лицей" по адресу: Московская область, г. Реутов, ул. Южная, д. 8</t>
  </si>
  <si>
    <t>Мероприятие 3.3.8.</t>
  </si>
  <si>
    <t>Капитальный ремонт здания муниципального образовательного учреждения</t>
  </si>
  <si>
    <t>Мероприятие 3.3.9.</t>
  </si>
  <si>
    <t xml:space="preserve">Оснащение инженерных классов в муниципальном образовательном учреждении </t>
  </si>
  <si>
    <t>Мероприятие 3.3.10.</t>
  </si>
  <si>
    <t>Подпрограмма 3</t>
  </si>
  <si>
    <t>Развитие потребительского рынка</t>
  </si>
  <si>
    <t>Организация и размещение муниципального кладбища для городского округа Реутов</t>
  </si>
  <si>
    <t>Разработка мер по рациональному размещению объектов потребительского рынка и услуг</t>
  </si>
  <si>
    <t>Ввод (строительство) новых современных мощностей инфраструктуры потребительского рынка и услуг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</si>
  <si>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</si>
  <si>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</si>
  <si>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Основное мероприятие 6.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</si>
  <si>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</si>
  <si>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Основное мероприятие 7.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</si>
  <si>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</si>
  <si>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Основное мероприятие 8.</t>
  </si>
  <si>
    <t>Участие в организации региональной системы защиты прав потребителей</t>
  </si>
  <si>
    <t>Приведение кладбищ в соответствие с требованиями, установленными нормативными правовыми актами Московской области</t>
  </si>
  <si>
    <t>Основное мероприятие 9.</t>
  </si>
  <si>
    <t>Количество организаций на рынке оказания ритуальных услуг</t>
  </si>
  <si>
    <t>Основное мероприятие 10.</t>
  </si>
  <si>
    <t>Содержание мест захоронения (кладбищ), включая захоронения, находящиеся под охраной государства (воинские захоронения)</t>
  </si>
  <si>
    <t>Основное мероприятие 11.</t>
  </si>
  <si>
    <t>Подпрограмма 4</t>
  </si>
  <si>
    <t>Развитие конкуренции</t>
  </si>
  <si>
    <t>Основное мероприятие: «Развитие сферы муниципальных закупок и внедрение стандарта развития конкуренции на территории города Реутов»</t>
  </si>
  <si>
    <t>Утверждение перечня приоритетных и социально значимых рынков для развития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</si>
  <si>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</si>
  <si>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Мероприятие 1.4.</t>
  </si>
  <si>
    <t>Разработка плана мероприятий («дорожной карты») по развитию конкуренции в муниципальном образовании</t>
  </si>
  <si>
    <t>Мероприятие 1.5.</t>
  </si>
  <si>
    <t>Итого по муниципальной программе</t>
  </si>
  <si>
    <t>Предпринимательство на 2017-2021 годы</t>
  </si>
  <si>
    <t xml:space="preserve">Подпрограмма I «Организация и проведение спортивных мероприятий в городском округе Реутов в 2017 - 2021 годах».
</t>
  </si>
  <si>
    <t xml:space="preserve">Организация и проведение соревнований среди ДОУ «Веселые старты»        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</si>
  <si>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</si>
  <si>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</si>
  <si>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>Шахматный турнир среди общеобразовательных школ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</si>
  <si>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</si>
  <si>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</si>
  <si>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</si>
  <si>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</si>
  <si>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</si>
  <si>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</si>
  <si>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</si>
  <si>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</si>
  <si>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</si>
  <si>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</si>
  <si>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</si>
  <si>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</si>
  <si>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</si>
  <si>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</si>
  <si>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</si>
  <si>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</si>
  <si>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</si>
  <si>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</si>
  <si>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</si>
  <si>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</si>
  <si>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</si>
  <si>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</si>
  <si>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</si>
  <si>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</si>
  <si>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</si>
  <si>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</si>
  <si>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</si>
  <si>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</si>
  <si>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</si>
  <si>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</si>
  <si>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</si>
  <si>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>Мероприятие 1.21.</t>
  </si>
  <si>
    <t>Организация и проведение соревнований в МАУ "Физкультурно-оздоровительный комплекс"</t>
  </si>
  <si>
    <t>Мероприятие 1.22.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</si>
  <si>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</si>
  <si>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</si>
  <si>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</si>
  <si>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</si>
  <si>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</si>
  <si>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</si>
  <si>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</si>
  <si>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</si>
  <si>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</si>
  <si>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</si>
  <si>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</si>
  <si>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</si>
  <si>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</si>
  <si>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</si>
  <si>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</si>
  <si>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</si>
  <si>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</si>
  <si>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</si>
  <si>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</si>
  <si>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</si>
  <si>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</si>
  <si>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</si>
  <si>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</si>
  <si>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</si>
  <si>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</si>
  <si>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</si>
  <si>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</si>
  <si>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</si>
  <si>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</si>
  <si>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>Приобретение оборудования и спортивного инвентаря для организации тренировочного процесса для Муниципального бюджетного учреждения «Спортивная школа»</t>
  </si>
  <si>
    <t>Приобретение оборудования и спортивного инвентаря для организации тренировочного процесса для Муниципального автономного учреждения «Спортивный комплекс «Старт»</t>
  </si>
  <si>
    <t>Подготовка основания, приобретение и установка скейт-парка (г. Реутов, Юбилейный проспект)</t>
  </si>
  <si>
    <t>Основное мероприятие 12.</t>
  </si>
  <si>
    <t>Приобретение спортивного оборудования и инвентаря для Муниципального автономного учреждения «Физкультурно-оздоровительный комплекс»</t>
  </si>
  <si>
    <t>Основное мероприятие 13.</t>
  </si>
  <si>
    <t>Проектно-изыскательные работы объекта "Академия вратарского мастерства имени Акинфеева" в городском округе Реутов (ул. Новая, д. 1а)</t>
  </si>
  <si>
    <t>Основное мероприятие 14.</t>
  </si>
  <si>
    <t>Мероприятия, направленные на эксплуатацию спортивных площадок в соответствии со стандартами их использования</t>
  </si>
  <si>
    <t xml:space="preserve">Подпрограмма III «Обеспечение деятельности подведомственных учреждений».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</si>
  <si>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</si>
  <si>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</si>
  <si>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</si>
  <si>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</si>
  <si>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</si>
  <si>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</si>
  <si>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</si>
  <si>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</si>
  <si>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>Создание энергетического паспорта объекта и выполнение комплекса работ по специальной оценке труда в МАУ «Спорткомплекс «Старт»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</si>
  <si>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</si>
  <si>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</si>
  <si>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</si>
  <si>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</si>
  <si>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</si>
  <si>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</si>
  <si>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</si>
  <si>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2.1.2.</t>
  </si>
  <si>
    <t>Организация и проведение мероприятий по вовлечению молодежи в здоровый образ жизни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</si>
  <si>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</si>
  <si>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</si>
  <si>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</si>
  <si>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</si>
  <si>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</si>
  <si>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>Мероприятие 3.1.3.</t>
  </si>
  <si>
    <t>Организация и проведение мероприятий по поддержке молодежного предпринимательства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</si>
  <si>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</si>
  <si>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</si>
  <si>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</si>
  <si>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</si>
  <si>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</si>
  <si>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</si>
  <si>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</si>
  <si>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</si>
  <si>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</si>
  <si>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</si>
  <si>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</si>
  <si>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</si>
  <si>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</si>
  <si>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</si>
  <si>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</si>
  <si>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</si>
  <si>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</si>
  <si>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</si>
  <si>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</si>
  <si>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</si>
  <si>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</si>
  <si>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</si>
  <si>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</si>
  <si>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</si>
  <si>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</si>
  <si>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</si>
  <si>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</si>
  <si>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</si>
  <si>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</si>
  <si>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</si>
  <si>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</si>
  <si>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</si>
  <si>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</si>
  <si>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</si>
  <si>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Развитие физической культуры  и спорта в городском округе Реутов на 2017-2021 годы</t>
  </si>
  <si>
    <t>Безопасность городского округа Реутов на 2017-2021 годы</t>
  </si>
  <si>
    <t>Социальная защита населения города Реутов на 2017-2021 годы</t>
  </si>
  <si>
    <t>Социальная защита  отдельных категорий граждан города Реутов</t>
  </si>
  <si>
    <t>Оказание социальной поддержки отдельным категориям граждан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</si>
  <si>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</si>
  <si>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</si>
  <si>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</si>
  <si>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</si>
  <si>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</si>
  <si>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«Почетный гражданин города Реутов»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</si>
  <si>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</si>
  <si>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</si>
  <si>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</si>
  <si>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</si>
  <si>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Подготовка лагерей  дневного пребывания, организованных на базе организаций образования к открытию: проведение семинара по охране труда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</si>
  <si>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</si>
  <si>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</si>
  <si>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</si>
  <si>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</si>
  <si>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</si>
  <si>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</si>
  <si>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</si>
  <si>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</si>
  <si>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</si>
  <si>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</si>
  <si>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</si>
  <si>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</si>
  <si>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</si>
  <si>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</si>
  <si>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</si>
  <si>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</si>
  <si>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Оборудование пандусом входной группы МУК "ЦБС" (филиал №1, №3) по адресу: Юбилейный пр-т д. 38</t>
  </si>
  <si>
    <t>Оборудование пандусом входной группы отделения почты России по адресу: ул. Ленина д.22</t>
  </si>
  <si>
    <t>Приобретение информационных табло со шрифтом Брайля, противоскользящего покрытия, беспроводного вызова помощника Пульсар, тактильных светонакопительных знаков для библиотек города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</si>
  <si>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</si>
  <si>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</si>
  <si>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</si>
  <si>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</si>
  <si>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</si>
  <si>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</si>
  <si>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</si>
  <si>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</si>
  <si>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</si>
  <si>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</si>
  <si>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</si>
  <si>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</si>
  <si>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Мероприятие 2.3.</t>
  </si>
  <si>
    <t>Предоставление компенсационных выплат иногородним врачам для оплаты найма жилого помещения</t>
  </si>
  <si>
    <t>Мероприятие 2.4.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</si>
  <si>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</si>
  <si>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</si>
  <si>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</si>
  <si>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</si>
  <si>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</si>
  <si>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Мероприятие 4.2.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</si>
  <si>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</si>
  <si>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</si>
  <si>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</si>
  <si>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</si>
  <si>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</si>
  <si>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</si>
  <si>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</si>
  <si>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</si>
  <si>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</si>
  <si>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</si>
  <si>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</si>
  <si>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</si>
  <si>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</si>
  <si>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</si>
  <si>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>Развитие и поддержка социально ориентированных некоммерческих организаций в городском округе Реутов</t>
  </si>
  <si>
    <t>Осуществление финансовой поддержки социально ориентированных некоммерческих организаций</t>
  </si>
  <si>
    <t>Предоставление субсидии социально ориентированным некоммерческим организациям на реализацию программ (проектов) в сфере социальной защиты населения</t>
  </si>
  <si>
    <t>Предоставление субсидии социально ориентированным некоммерческим организациям на реализацию программ (проектов) в сфере культуры</t>
  </si>
  <si>
    <t>Предоставление субсидии социально ориентированным некоммерческим организациям, реализующим основные образовательные программы дошкольного образования в качестве основного вида деятельности</t>
  </si>
  <si>
    <t>Предоставление субсидии социально ориентированным некоммерческим организациям, оказывающим услугу присмотра и ухода за детьми</t>
  </si>
  <si>
    <t>Предоставление субсидии социально ориентированным некоммерческим организациям,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</si>
  <si>
    <t>Предоставление субсидий социально ориентированным некоммерческим организациям на реализацию программ (проектов) в сфере физической культуры и спорта и содействие указанной деятельности</t>
  </si>
  <si>
    <t>Предоставление субсидии социально ориентированным некоммерческим организациям на реализацию программ (проектов)  в сфере охраны здоровья</t>
  </si>
  <si>
    <t>Осуществление имущественной, информационной и консультационной поддержки социально ориентированным некоммерческим организациям</t>
  </si>
  <si>
    <t>Предоставление имущественной и консультационной поддержки социально ориентированным некоммерческим организациям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</si>
  <si>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социально ориентированных некоммерческих организаций</t>
  </si>
  <si>
    <t>Развитие дорожно-транспортного комплекса в городском округе Реутов  на 2017-2021 годы</t>
  </si>
  <si>
    <t xml:space="preserve">«Безопасность дорожного движения»
</t>
  </si>
  <si>
    <t>Безопасность дорожного движения</t>
  </si>
  <si>
    <t>Установка дорожных знаков</t>
  </si>
  <si>
    <t>Обновление дорожной разметки</t>
  </si>
  <si>
    <t>Установка и обустройство светофорных объектов</t>
  </si>
  <si>
    <t>Обустройство искусственных дорожных неровностей</t>
  </si>
  <si>
    <t>Установка ограничивающих пешеходных ограждений перильного типа</t>
  </si>
  <si>
    <t>Разработка проекта организации дорожного движения в городском округе Реутов Московской области</t>
  </si>
  <si>
    <t>«Содержание дорог и объектов улично-дорожной сети»</t>
  </si>
  <si>
    <t>Повышение обустройства автомобильных дорог местного значения</t>
  </si>
  <si>
    <t>Содержание ливневой канализации</t>
  </si>
  <si>
    <t xml:space="preserve">Содержание светофорных объектов </t>
  </si>
  <si>
    <t>Содержание автомобильных дорог общего пользования местного значения с совершенствованным типом покрытия</t>
  </si>
  <si>
    <t>Выполнение работ по нанесению вертикальной разметки 2.7 на бортовые камни в городском округе Реутов</t>
  </si>
  <si>
    <t>Мероприятие 1.3.3.</t>
  </si>
  <si>
    <t>Выполнение работ по ямочному ремонту автомобильных дорог общего пользования местного значения</t>
  </si>
  <si>
    <t>Обеспечение деятельности муниципального учреждения "Эксплуатация дорог и паковочного пространства города Реутов"</t>
  </si>
  <si>
    <t>«Ремонт дорог и объектов улично-дорожной сети»</t>
  </si>
  <si>
    <t xml:space="preserve">Капитальный ремонт и (или) ремонт автомобильных дорог общего пользования местного значения </t>
  </si>
  <si>
    <t>Ремонт ливневой канализации</t>
  </si>
  <si>
    <t xml:space="preserve">Капитальный ремонт и ремонт автомобильных дорог общего пользования населенных пунктов местного значения, в том числе замена и установка остановочных павильонов  </t>
  </si>
  <si>
    <t xml:space="preserve"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 </t>
  </si>
  <si>
    <t>Ремонт тротуаров</t>
  </si>
  <si>
    <t>Ремонт автомобильных дорог общего пользования местного значения</t>
  </si>
  <si>
    <t>Увеличение парковочного пространства</t>
  </si>
  <si>
    <t xml:space="preserve">Создание парковочного пространства 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</si>
  <si>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</si>
  <si>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Комплексное благоустройство парковочного пространства</t>
  </si>
  <si>
    <t xml:space="preserve">Обеспечение надлежащего состояния автомобильных дорог и дворовых территорий </t>
  </si>
  <si>
    <t xml:space="preserve">Ямочный ремонт дворовых территорий многоквартирных домов, проездов к дворовым территориям многоквартирных домов населенных пунктов 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</si>
  <si>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</si>
  <si>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</si>
  <si>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Мероприятие 3.4.</t>
  </si>
  <si>
    <t>Строительство ливневой канализации</t>
  </si>
  <si>
    <t>Увеличение протяженности автомобильных дорог общего пользования местного значения</t>
  </si>
  <si>
    <t xml:space="preserve">Проектирование, строительство (реконструкция) автомобильных дорог общего пользования и объектов  дорожного хозяйства местного значения </t>
  </si>
  <si>
    <t>«Транспортное обслуживание населения»</t>
  </si>
  <si>
    <t>Обеспечение транспортного обслуживания населения</t>
  </si>
  <si>
    <t>Организация транспортного обслуживания населения автомобильным транспортом на муниципальных маршрутах</t>
  </si>
  <si>
    <t>Муниципальная программа городского округа Реутов Московской области «Жилище» на 2017-2021 годы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</si>
  <si>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</si>
  <si>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</si>
  <si>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</si>
  <si>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</si>
  <si>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</si>
  <si>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</si>
  <si>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</si>
  <si>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</si>
  <si>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</si>
  <si>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</si>
  <si>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</si>
  <si>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</si>
  <si>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</si>
  <si>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</si>
  <si>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</si>
  <si>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ввод объектов в эксплуатацию (индивидуальное жилищное строительство)</t>
  </si>
  <si>
    <t>Осуществление выдачи разрешений на строительство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</si>
  <si>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</si>
  <si>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</si>
  <si>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</si>
  <si>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</si>
  <si>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</si>
  <si>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</si>
  <si>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Мероприятие 4.3.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</si>
  <si>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</si>
  <si>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</si>
  <si>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</si>
  <si>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</si>
  <si>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>Мероприятие 6.1.</t>
  </si>
  <si>
    <t xml:space="preserve">Развитие условий для рынка жилья </t>
  </si>
  <si>
    <t>Мероприятие 6.2.</t>
  </si>
  <si>
    <t xml:space="preserve">Создание условий для развития рынка жилья </t>
  </si>
  <si>
    <t>Защита прав граждан на жилище</t>
  </si>
  <si>
    <t>Мероприятие 7.1.</t>
  </si>
  <si>
    <t>Реализация мер защиты прав граждан на жилище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</si>
  <si>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</si>
  <si>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Мероприятие 8.1.</t>
  </si>
  <si>
    <t>Осуществление отдельных государственных полномочий 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</si>
  <si>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Развитие и сохранение культуры в городском округе Реутов на 2017-2021 годы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</si>
  <si>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</si>
  <si>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</si>
  <si>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</si>
  <si>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</si>
  <si>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</si>
  <si>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</si>
  <si>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</si>
  <si>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</si>
  <si>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Предоставление доступа  к сети передачи данных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</si>
  <si>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</si>
  <si>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</si>
  <si>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</si>
  <si>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</si>
  <si>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</si>
  <si>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Проведение специальной оценки условий труда</t>
  </si>
  <si>
    <t>Проведение периодического технического освидетельствования лифтового оборудования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</si>
  <si>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</si>
  <si>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</si>
  <si>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</si>
  <si>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</si>
  <si>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</si>
  <si>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</si>
  <si>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</si>
  <si>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</si>
  <si>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</si>
  <si>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</si>
  <si>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Осуществление технологического присоединения к электрическим сетям объекта "Дом культуры в городском округе Реутов"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</si>
  <si>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</si>
  <si>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</si>
  <si>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</si>
  <si>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</si>
  <si>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</si>
  <si>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</si>
  <si>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</si>
  <si>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</si>
  <si>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</si>
  <si>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</si>
  <si>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</si>
  <si>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</si>
  <si>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</si>
  <si>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</si>
  <si>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</si>
  <si>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</si>
  <si>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</si>
  <si>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</si>
  <si>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</si>
  <si>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</si>
  <si>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</si>
  <si>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Профилактика преступлений и иных правонарушений в городском округе Реутов на 2017–2021 годы</t>
  </si>
  <si>
    <t xml:space="preserve">Выполнено на 99,3%
</t>
  </si>
  <si>
    <t>Предупреждение террористических акций и повышение степени антитеррористической защищенности социально значимых объектов и мест с массовым пребыванием людей</t>
  </si>
  <si>
    <t xml:space="preserve">Выполнено на 99,7%
</t>
  </si>
  <si>
    <t>обеспечение охраны муниципальных учреждений, подведомственных Управлению образования Администрации г.о. Реутов</t>
  </si>
  <si>
    <t xml:space="preserve">Выполнено на 99,6%
</t>
  </si>
  <si>
    <t>обеспечение охраны муниципальных учреждений, подведомственных отделу по физической культуре и спорту Администрации г.о. Реутов</t>
  </si>
  <si>
    <t xml:space="preserve">Выполнено на 100%
</t>
  </si>
  <si>
    <t>Обеспечение охраны муниципальных учреждений, подведомственных отделу культуры и молодежной политики Администрации г.о. Реутов</t>
  </si>
  <si>
    <t>Охрана административного здания (ул. Победы д.7)</t>
  </si>
  <si>
    <t>Обеспечение охраны городского парка и городского пруда</t>
  </si>
  <si>
    <t>Обеспечение охраны административного здания МУ "ЭД и ПП" (пр. Мира 51)</t>
  </si>
  <si>
    <t xml:space="preserve">Приобретение технических средств, оборудования, сопутствующих материалов для обеспечения деятельности отдела территориальной безопасности Администрации г.о. Реутов </t>
  </si>
  <si>
    <t xml:space="preserve">Внедрение современных средств наблюдения и оповещения о правонарушениях, обеспечение оперативного принятия решений в целях обеспечения правопорядка и безопасности граждан </t>
  </si>
  <si>
    <t xml:space="preserve">Выполнено на 98,8%
</t>
  </si>
  <si>
    <t xml:space="preserve">Приобретение средств связи, оргтехники, технических средств видеонаблюдения, их установка, ремонт и обслуживание </t>
  </si>
  <si>
    <t>Оплата договоров по незамедлительному реагированию на сигналы КТС в муниципальных учреждениях</t>
  </si>
  <si>
    <t>Оплата услуг за обслуживание объектов, оборудованных средствами автоматического контроля с выводом на пульт централизованного наблюдения</t>
  </si>
  <si>
    <t>Оплата поставок электроэнергии для обслуживания городских видеокамер.</t>
  </si>
  <si>
    <t>Мероприятие 2.5.</t>
  </si>
  <si>
    <t>Техническое обслуживание кнопок тревожной сигнализации</t>
  </si>
  <si>
    <t>Мероприятие 2.6.</t>
  </si>
  <si>
    <t>Услуги по обслуживанию системы охранного видеонаблюдения и системы управления доступом</t>
  </si>
  <si>
    <t>Мероприятие 2.7.</t>
  </si>
  <si>
    <t>Контроль и обслуживание комплекса технических средств охраны</t>
  </si>
  <si>
    <t xml:space="preserve">Выполнено на 96,1%
</t>
  </si>
  <si>
    <t>Снижение количества преступлений, совершенных на территории города. Обеспечение деятельности объединений правоохранительной направленности</t>
  </si>
  <si>
    <t>Приобретение средств связи для обеспечения радиосвязью во время проведения массовых мероприятий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</si>
  <si>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</si>
  <si>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Обеспечение деятельности общественных мероприятий правоохранительной направленности</t>
  </si>
  <si>
    <t>Профилактика и предупреждение проявлений экстремизма</t>
  </si>
  <si>
    <t>Проведение семинаров для руководителей и специалистов муниципальных образовательных учреждений по вопросам профилактике и предупреждения проявлений экстремизма среди несовершеннолетних</t>
  </si>
  <si>
    <t>Проведение конкурсов плакатов и рисунков антиэкстремистской направленности. Приобретение призов и расходных материалов.</t>
  </si>
  <si>
    <t>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</t>
  </si>
  <si>
    <t xml:space="preserve">Выполнено на 72,2%
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</si>
  <si>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</si>
  <si>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</si>
  <si>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«Готов к защите Отечества» и приобретение призов для победителей турнира.</t>
  </si>
  <si>
    <t>Мероприятие 5.3.</t>
  </si>
  <si>
    <t>Раздача агитационных материалов по профилактике наркомании и приобретение призов в период проведения городских соревнований по футболу среди дворовых команд «Вперед мальчишки»</t>
  </si>
  <si>
    <t>Мероприятие 5.4.</t>
  </si>
  <si>
    <t>Приобретение иммунохроматографических тестов для проведения тестирования в образовательных учреждениях по выявлению учащихся, употребляющих наркотические и психоактивные вещества</t>
  </si>
  <si>
    <t xml:space="preserve">Выполнено на 54,6%
</t>
  </si>
  <si>
    <t>Мероприятие 5.5.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</si>
  <si>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</si>
  <si>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5.6.</t>
  </si>
  <si>
    <t>Повышение квалификации специалистов и подготовка волонтеров</t>
  </si>
  <si>
    <t>Мероприятие 5.7.</t>
  </si>
  <si>
    <t>Организация информационно – пропагандистского сопровождения антинаркотической деятельности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</si>
  <si>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</si>
  <si>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</si>
  <si>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</si>
  <si>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</si>
  <si>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</si>
  <si>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</si>
  <si>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</si>
  <si>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</si>
  <si>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</si>
  <si>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</si>
  <si>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</si>
  <si>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</si>
  <si>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</si>
  <si>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</si>
  <si>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</si>
  <si>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</si>
  <si>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</si>
  <si>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 xml:space="preserve">Финансирование не потребовалось
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</si>
  <si>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</si>
  <si>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</si>
  <si>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</si>
  <si>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Мероприятие 4.4.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</si>
  <si>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</si>
  <si>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</si>
  <si>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</si>
  <si>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 xml:space="preserve">Финансирование не предусмотрено	
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</si>
  <si>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</si>
  <si>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</si>
  <si>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</si>
  <si>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 xml:space="preserve">Выполнено
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</si>
  <si>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</si>
  <si>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</si>
  <si>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</si>
  <si>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Мероприятие 6.3.</t>
  </si>
  <si>
    <t>Налог на имущество</t>
  </si>
  <si>
    <t>Мероприятие 6.4.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</si>
  <si>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</si>
  <si>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6.5.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</si>
  <si>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</si>
  <si>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 xml:space="preserve">Выполнено на 99,8%
</t>
  </si>
  <si>
    <t>Мероприятие 6.6.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</si>
  <si>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</si>
  <si>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</si>
  <si>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</si>
  <si>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 xml:space="preserve">Финансирование не предусмотрено 
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</si>
  <si>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</si>
  <si>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</si>
  <si>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</si>
  <si>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</si>
  <si>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</si>
  <si>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</si>
  <si>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</si>
  <si>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</si>
  <si>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</si>
  <si>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</si>
  <si>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</si>
  <si>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 xml:space="preserve">Выполнено на 92,4%
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</si>
  <si>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</si>
  <si>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</si>
  <si>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</si>
  <si>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</si>
  <si>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Подача воды для пожаротушения</t>
  </si>
  <si>
    <t xml:space="preserve">Выполнено на 42,1%
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</si>
  <si>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</si>
  <si>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</si>
  <si>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</t>
  </si>
  <si>
    <t>Техническое обслуживание автоматической пожарной сигнализации и системы оповещения о пожаре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</si>
  <si>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</si>
  <si>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</si>
  <si>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Поставка элементов электропитания для оснащения автономных дымовых пожарных извещателей, установленных в помещениях, в которых проживают многодетные семьи и семьи, попавшие в трудную жизненную ситуацию</t>
  </si>
  <si>
    <t xml:space="preserve">Выполнено на 99,9%
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</si>
  <si>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</si>
  <si>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</si>
  <si>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</si>
  <si>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</si>
  <si>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</si>
  <si>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</si>
  <si>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</si>
  <si>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</si>
  <si>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</si>
  <si>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Мероприятие 2.8.</t>
  </si>
  <si>
    <t>Закупка первичных средств пожаротушения, знаков пожарной безопасности и изготовление плана эвакуации для МАУ «ФОК»</t>
  </si>
  <si>
    <t>Мероприятие 2.9.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</si>
  <si>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</si>
  <si>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Мероприятие 2.10.</t>
  </si>
  <si>
    <t>Техническое обслуживание системы автоматической пожарной сигнализации в МУ «Подростково-молодежный центр»</t>
  </si>
  <si>
    <t>Мероприятие 2.11.</t>
  </si>
  <si>
    <t>Обучение  ответственного  за противопожарные мероприятия в МУ «Подростково-молодежный центр»</t>
  </si>
  <si>
    <t>Мероприятие 2.12.</t>
  </si>
  <si>
    <t>Выполнение противопожарных мероприятий в помещениях МУ «СОКИ «Риск-М»</t>
  </si>
  <si>
    <t>Мероприятие 2.13.</t>
  </si>
  <si>
    <t>Работы по противопожарной обработке деревянных конструкций в МУ «Молодежный культурно-досуговый центр»</t>
  </si>
  <si>
    <t>Мероприятие 2.14.</t>
  </si>
  <si>
    <t>Обучение ответственного за противопожарные мероприятия в МАУ «Физкультурно-оздоровительный комплекс»</t>
  </si>
  <si>
    <t>Мероприятие 2.15.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</si>
  <si>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</si>
  <si>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2.16.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</si>
  <si>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</si>
  <si>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2.17.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</si>
  <si>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</si>
  <si>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2.18.</t>
  </si>
  <si>
    <t>Техническое обслуживание системы автоматической пожарной сигнализации в МБУ «Спортивная школа»</t>
  </si>
  <si>
    <t>Мероприятие 2.19.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</si>
  <si>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</si>
  <si>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2.20.</t>
  </si>
  <si>
    <t>Испытание систем внутреннего пожарного водопровода с перекаткой рукавов в МБУ «Спортивная школа»</t>
  </si>
  <si>
    <t>Мероприятие 2.21.</t>
  </si>
  <si>
    <t>Обучение сотрудников МБУ «Спортивная школа» пожарно-техническому минимуму»</t>
  </si>
  <si>
    <t>Мероприятие 2.22.</t>
  </si>
  <si>
    <t>Огнезащитная обработка деревянных конструкций здания МБУ «Спортивная школа», штор, проверка на прочность»</t>
  </si>
  <si>
    <t>Мероприятие 2.23.</t>
  </si>
  <si>
    <t xml:space="preserve">Приобретение и замена пожарного оборудования в МБУ «Спортивная школа» </t>
  </si>
  <si>
    <t>Мероприятие 2.24.</t>
  </si>
  <si>
    <t>Устранение нарушений по пожарной безопасности: замена дверей в МУК «Централизованная библиотечная система»</t>
  </si>
  <si>
    <t>Мероприятие 2.25.</t>
  </si>
  <si>
    <t>Выполнение работ по ремонту АПС «Музейно-выставочного центра»</t>
  </si>
  <si>
    <t>Мероприятие 2.26.</t>
  </si>
  <si>
    <t>Заправка огнетушителей в МАУ «Спортивный комплекс «Старт»</t>
  </si>
  <si>
    <t>Мероприятие 2.27.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</si>
  <si>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</si>
  <si>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Мероприятие 2.28.</t>
  </si>
  <si>
    <t>Установка программно-аппаратного комплекса «Стрелец-мониторинг» в МБУ «Спортивная школа»</t>
  </si>
  <si>
    <t>Мероприятие 2.29.</t>
  </si>
  <si>
    <t>Обслуживание программно-аппаратного комплекса «Стрелец-мониторинг» в МБУ «Спортивная школа»</t>
  </si>
  <si>
    <t>Мероприятие 2.30.</t>
  </si>
  <si>
    <t>Установка программно-аппаратного комплекса «Стрелец-мониторинг» в МУ «СОКИ «Риск-М»</t>
  </si>
  <si>
    <t>Мероприятие 2.31.</t>
  </si>
  <si>
    <t>Обслуживание программно-аппаратного комплекса «Стрелец-мониторинг» в МУ «СОКИ «Риск-М»</t>
  </si>
  <si>
    <t>Мероприятие 2.32.</t>
  </si>
  <si>
    <t>Установка программно-аппаратного комплекса «Стрелец-мониторинг» в МУК «Централизованная библиотечная система»</t>
  </si>
  <si>
    <t>Мероприятие 2.33.</t>
  </si>
  <si>
    <t>Обслуживание программно-аппаратного комплекса «Стрелец-мониторинг» в МУК «Централизованная библиотечная система»</t>
  </si>
  <si>
    <t>Мероприятие 2.34.</t>
  </si>
  <si>
    <t>Установка программно-аппаратного комплекса «Стрелец-мониторинг» в МУ «Молодежный культурно-досуговый центр»</t>
  </si>
  <si>
    <t>Мероприятие 2.35.</t>
  </si>
  <si>
    <t>Обслуживание программно-аппаратного комплекса «Стрелец-мониторинг» в МУ «Молодежный культурно-досуговый центр»</t>
  </si>
  <si>
    <t>Мероприятие 2.36.</t>
  </si>
  <si>
    <t>Техническое обслуживание системы автоматической пожарной сигнализации в МУ «Спортивно-оздоровительный клуб инвалидов «Риск-М»</t>
  </si>
  <si>
    <t>Мероприятие 2.37.</t>
  </si>
  <si>
    <t>Обеспечение пожарной безопасности в МАУ «Спортивный комплекс «Старт»</t>
  </si>
  <si>
    <t>Мероприятие 2.38.</t>
  </si>
  <si>
    <t>Испытание систем внутреннего пожарного водопровода с перекаткой рукавов в МАУ «Физкультурно-оздоровительный комплекс»</t>
  </si>
  <si>
    <t>Мероприятие 2.39.</t>
  </si>
  <si>
    <t>Приобретение огнетушителей и подставок под них для учреждений централизованной библиотечной системы</t>
  </si>
  <si>
    <t>Мероприятие 2.40.</t>
  </si>
  <si>
    <t>Техническое обслуживание системы дымоудаления в МАУДО "Детская художественная школа"</t>
  </si>
  <si>
    <t>Мероприятие 2.41.</t>
  </si>
  <si>
    <t>Заправка и приобретение огнетушителей в МАУ «Спортивный комплекс «Старт»</t>
  </si>
  <si>
    <t>Мероприятие 2.42.</t>
  </si>
  <si>
    <t>Установка пожарной сигнализации в Центральной детской библиотеке, расположенной по адресу: г. Реутов, ул. Ленина, дом 14</t>
  </si>
  <si>
    <t>Мероприятие 2.43.</t>
  </si>
  <si>
    <t>Ремонт пожарной сигнализации в здании МБУ «Спортивная школа»</t>
  </si>
  <si>
    <t>Мероприятие 2.44.</t>
  </si>
  <si>
    <t>Ремонт пожарной сигнализации в здании МУ «Подростково-молодежный центр»</t>
  </si>
  <si>
    <t>Обеспечение пожарной безопасности на объектах образования:</t>
  </si>
  <si>
    <t xml:space="preserve">Выполнено на 99,2%
</t>
  </si>
  <si>
    <t>Техническое обслуживание системы автоматической пожарной сигнализации в учреждениях, образования</t>
  </si>
  <si>
    <t xml:space="preserve">Выполнено на 96,7%
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</si>
  <si>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</si>
  <si>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</si>
  <si>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</si>
  <si>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Мероприятие 3.5.</t>
  </si>
  <si>
    <t>Обучение пожарно-техническому минимуму персонала образовательных учреждений</t>
  </si>
  <si>
    <t>Мероприятие 3.6.</t>
  </si>
  <si>
    <t>Огнезащитная обработка деревянных конструкций зданий и сооружений, штор, проверка на горючесть</t>
  </si>
  <si>
    <t>Мероприятие 3.7.</t>
  </si>
  <si>
    <t>Обслуживание систем противодымной защиты</t>
  </si>
  <si>
    <t>Мероприятие 3.8.</t>
  </si>
  <si>
    <t>Замена, ремонт, модернизация автоматической пожарной сигнализации (АПС), выработавшей установленные сроки эксплуатации</t>
  </si>
  <si>
    <t>Мероприятие 3.9.</t>
  </si>
  <si>
    <t>Замер сопротивления изоляции электропроводки в образовательных организациях</t>
  </si>
  <si>
    <t>Мероприятие 3.10.</t>
  </si>
  <si>
    <t>Приобретение первичных средств пожаротушения</t>
  </si>
  <si>
    <t>Мероприятие 3.11.</t>
  </si>
  <si>
    <t>Испытание систем внутреннего пожарного водопровода в образовательных организациях</t>
  </si>
  <si>
    <t>Мероприятие 3.12.</t>
  </si>
  <si>
    <t>Испытание наружных эвакуационных противопожарных лестниц</t>
  </si>
  <si>
    <t>Мероприятие 3.13.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</si>
  <si>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</si>
  <si>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Мероприятие 3.14.</t>
  </si>
  <si>
    <t>Автоматические установки пожаротушения (пиростикеры)</t>
  </si>
  <si>
    <t>Мероприятие 3.15.</t>
  </si>
  <si>
    <t>Перекатка пожарных рукавов</t>
  </si>
  <si>
    <t>Мероприятие 3.16.</t>
  </si>
  <si>
    <t>Оснащение системой АПС «Стрелец-мониторинг» образовательных учреждений городского округа Реутов</t>
  </si>
  <si>
    <t>Мероприятие 3.17.</t>
  </si>
  <si>
    <t>Техническое обслуживание АПС «Стрелец-мониторинг» образовательных учреждений городского округа Реутов</t>
  </si>
  <si>
    <t>Мероприятие 3.18.</t>
  </si>
  <si>
    <t>Приобретение и замена аккумулятора видеонаблюдения, цепного привода окон, ремонт усилителя громкости</t>
  </si>
  <si>
    <t>Мероприятие 3.19.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</si>
  <si>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</si>
  <si>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</si>
  <si>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</si>
  <si>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</si>
  <si>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</si>
  <si>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</si>
  <si>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Мероприятие 4.5.</t>
  </si>
  <si>
    <t>Замер сопротивления изоляции электросетей здания</t>
  </si>
  <si>
    <t>Мероприятие 4.6.</t>
  </si>
  <si>
    <t>Проведение независимой оценки пожарного риска по объекту ул. Лесная, д. 4</t>
  </si>
  <si>
    <t>Мероприятие 4.7.</t>
  </si>
  <si>
    <t>Проведение мероприятий по обеспечению пожарной безопасности</t>
  </si>
  <si>
    <t>Мероприятие 4.8.</t>
  </si>
  <si>
    <t xml:space="preserve">Обеспечение пожарной безопасности на объектах </t>
  </si>
  <si>
    <t>Мероприятие 4.9.</t>
  </si>
  <si>
    <t>Выполнение работ по монтажу  и пуско-наладке автоматической пожарной сигнализации в административном здании</t>
  </si>
  <si>
    <t>Мероприятие 4.10.</t>
  </si>
  <si>
    <t>Выполнение работ по монтажу  и пуско-наладке ПАК «Стрелец-мониторинг» в административном здании</t>
  </si>
  <si>
    <t>Мероприятие 4.11.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</si>
  <si>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</si>
  <si>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Мероприятие 4.12.</t>
  </si>
  <si>
    <t>Выполнение работ по монтажу  и пуско-наладке ПАК «Стрелец-мониторинг» в административном здании МФЦ</t>
  </si>
  <si>
    <t>Мероприятие 4.13.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</si>
  <si>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</si>
  <si>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</si>
  <si>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</si>
  <si>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</si>
  <si>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</si>
  <si>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</si>
  <si>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</si>
  <si>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</si>
  <si>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</si>
  <si>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</si>
  <si>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</si>
  <si>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</si>
  <si>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</si>
  <si>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</si>
  <si>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</si>
  <si>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Обеспечение доведения до населения городского округа Реутов сигналов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</si>
  <si>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</si>
  <si>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Выполнено на 99,5%</t>
  </si>
  <si>
    <t>Управление имуществом и финансами городского округа Реутов на 2018-2022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</si>
  <si>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</si>
  <si>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</si>
  <si>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 xml:space="preserve">Выполнено на 92,64%
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</si>
  <si>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</si>
  <si>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</si>
  <si>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 xml:space="preserve">Выполнено на 94,9%
</t>
  </si>
  <si>
    <t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</si>
  <si>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</si>
  <si>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</si>
  <si>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</si>
  <si>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</si>
  <si>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</si>
  <si>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</si>
  <si>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</si>
  <si>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</si>
  <si>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</si>
  <si>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</si>
  <si>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</si>
  <si>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</si>
  <si>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</si>
  <si>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</si>
  <si>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</si>
  <si>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Организация работы по исчислению стажа муниципальной службы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</si>
  <si>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</si>
  <si>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</si>
  <si>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</si>
  <si>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Организация работы по прохождению диспансеризации муниципальными служащими</t>
  </si>
  <si>
    <t>Основное мероприятие 15.</t>
  </si>
  <si>
    <t>Организация работы по повышению квалификации муниципальных служащих</t>
  </si>
  <si>
    <t xml:space="preserve">Выполнено на 88,1%
</t>
  </si>
  <si>
    <t>Управление муниципальными финансами на 2018-2022 годы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</si>
  <si>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</si>
  <si>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</si>
  <si>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</si>
  <si>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</si>
  <si>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</si>
  <si>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</si>
  <si>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</si>
  <si>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</si>
  <si>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</si>
  <si>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</si>
  <si>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</si>
  <si>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</si>
  <si>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</si>
  <si>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</si>
  <si>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</si>
  <si>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 xml:space="preserve">Выполнено на 98,9%
</t>
  </si>
  <si>
    <t>Обеспечение деятельности Администрации города Реутов</t>
  </si>
  <si>
    <t xml:space="preserve">Выполнено на 99,1%
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</si>
  <si>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</si>
  <si>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</si>
  <si>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 xml:space="preserve">Выполнено на 96,6%
</t>
  </si>
  <si>
    <t>Территориальное развитие (градостроительство и землеустройство) на 2018-2022 годы</t>
  </si>
  <si>
    <t xml:space="preserve">Выполнено на 94% 
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</si>
  <si>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</si>
  <si>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</si>
  <si>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</si>
  <si>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</si>
  <si>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</si>
  <si>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</si>
  <si>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 xml:space="preserve">Выполнено на 94%
</t>
  </si>
  <si>
    <t>Согласование и утверждение плана – графика разработки и реализации концепции пешеходной улицы</t>
  </si>
  <si>
    <t>Мероприятие 6.1.1.</t>
  </si>
  <si>
    <t>Благоустройство  территории примыкающей к городскому пруду</t>
  </si>
  <si>
    <t>Мероприятие 6.1.2.</t>
  </si>
  <si>
    <t>Благоустройство пешеходной улицы Юбилейный проспект</t>
  </si>
  <si>
    <t>Мероприятие 6.1.3.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</si>
  <si>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</si>
  <si>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</si>
  <si>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6.2.1.</t>
  </si>
  <si>
    <t>Благоустройство территории примыкающей к городскому пруду</t>
  </si>
  <si>
    <t>Мероприятие 6.2.2.</t>
  </si>
  <si>
    <t>Благоустройство  пешеходной улицы Юбилейный проспект</t>
  </si>
  <si>
    <t>Мероприятие 6.2.3.</t>
  </si>
  <si>
    <t>Реализация концепции пешеходной улицы</t>
  </si>
  <si>
    <t>Мероприятие 6.3.1.</t>
  </si>
  <si>
    <t>Мероприятие 6.3.2.</t>
  </si>
  <si>
    <t>Мероприятие 6.3.3.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</si>
  <si>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</si>
  <si>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</si>
  <si>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>Мероприятие 7.1.1.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</si>
  <si>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</si>
  <si>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Мероприятие 7.1.2.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</si>
  <si>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</si>
  <si>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7.1.3.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</si>
  <si>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</si>
  <si>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7.1.4.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</si>
  <si>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</si>
  <si>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Мероприятие 7.2.</t>
  </si>
  <si>
    <t>Согласование и утверждение плана-графика проведения работ по приведению в порядок городской территории.</t>
  </si>
  <si>
    <t>Мероприятие 7.2.1.</t>
  </si>
  <si>
    <t>Мероприятие 7.2.2.</t>
  </si>
  <si>
    <t>Мероприятие 7.2.3.</t>
  </si>
  <si>
    <t>Мероприятие 7.2.4.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</si>
  <si>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</si>
  <si>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</si>
  <si>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</si>
  <si>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>Мероприятие 9.1.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</si>
  <si>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</si>
  <si>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</si>
  <si>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>Выполнено на 99,3%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</si>
  <si>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</si>
  <si>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</si>
  <si>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 xml:space="preserve">Финансирование не  предусмотрено
</t>
  </si>
  <si>
    <t>Организация лабораторного контроля за состоянием открытых вод,почвы</t>
  </si>
  <si>
    <t xml:space="preserve">Выполнено на 99,85%
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</si>
  <si>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</si>
  <si>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</si>
  <si>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</si>
  <si>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</si>
  <si>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</si>
  <si>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</si>
  <si>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</si>
  <si>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Выполнено на 58,1%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</si>
  <si>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</si>
  <si>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</si>
  <si>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</si>
  <si>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 xml:space="preserve">Финансирование не  предусмотрено
</t>
  </si>
  <si>
    <t>Экология и охрана окружающей среды городского округа Реутов Московской области на 2017-2021 годы</t>
  </si>
  <si>
    <t xml:space="preserve">Формирование комфортной городской среды на 2018-2022 годы </t>
  </si>
  <si>
    <t>Комфортная городская среда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</si>
  <si>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</si>
  <si>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</si>
  <si>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Разработка проекта благоустройства сквера за ДК "МИР"</t>
  </si>
  <si>
    <t>Разработка концепции и проекта благоустройства Носовихинского шоссе</t>
  </si>
  <si>
    <t>Разработка проектов по комплексному благоустройству улиц Парковая, Ашхабадская и Железнодорожная. Строительно-монтажные работы по реконструкции и комплексному благоустройству улицы Парковая.</t>
  </si>
  <si>
    <t>Мероприятие 1.1.4.</t>
  </si>
  <si>
    <t>Разработка проекта по строительству и комплексному благоустройству набережной в парке «Фабричный пруд»</t>
  </si>
  <si>
    <t>Мероприятие 1.1.5.</t>
  </si>
  <si>
    <t>Разработка проекта по благоустройству «Центрального парка», улицы Южной и Юбилейного проспекта</t>
  </si>
  <si>
    <t>Мероприятие 1.1.6.</t>
  </si>
  <si>
    <t>Оказание услуг по проведению научного мероприятия (круглого стола) на тему формирования стратегии озеленения г.о. Реутов "Зеленый каркас"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</si>
  <si>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</si>
  <si>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</si>
  <si>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>Ликвидация несанкционированных свалок и навалов мусора на территории города Реутов</t>
  </si>
  <si>
    <t>Комплексное благоустройство парковых территорий</t>
  </si>
  <si>
    <t>Комплексное благоустройство парковых территорий (1)</t>
  </si>
  <si>
    <t>Комплексное благоустройство парковых территорий (2)</t>
  </si>
  <si>
    <t>Геодезические изыскания и проектирование капитального ремонта с расширением ул. Гагарина</t>
  </si>
  <si>
    <t>Разработка проектов по комплексному благоустройству мини-скверов на территории городского округа Реутов.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</si>
  <si>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</si>
  <si>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</si>
  <si>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</si>
  <si>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Установка информационных стендов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</si>
  <si>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</si>
  <si>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Федеральный проект «Формирование комфортной городской среды»</t>
  </si>
  <si>
    <t>Создание новых и/или благоустройство существующих парков культуры и отдыха</t>
  </si>
  <si>
    <t>Асфальтирование дворовых территорий</t>
  </si>
  <si>
    <t>Благоустройство территории городского округа Реутов</t>
  </si>
  <si>
    <t xml:space="preserve">Выполнено на 99,1%
</t>
  </si>
  <si>
    <t>Создание условий для благоустройства территорий городского округа Реутов</t>
  </si>
  <si>
    <t xml:space="preserve">Выполнено на 99,5%
</t>
  </si>
  <si>
    <t>Приобретение техники для нужд благоустройства и коммунального хозяйства</t>
  </si>
  <si>
    <t>Содержание детских, спортивных площадок, площадок для выгула собак</t>
  </si>
  <si>
    <t xml:space="preserve">Выполнено на 92,6%
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</si>
  <si>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</si>
  <si>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</si>
  <si>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</si>
  <si>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</si>
  <si>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</si>
  <si>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</si>
  <si>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</si>
  <si>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</si>
  <si>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Мероприятие 1.6.5.</t>
  </si>
  <si>
    <t>Иные цели</t>
  </si>
  <si>
    <t>Устройство универсального резинового основания на волейбольной площадке по адресу: Московская область, г. Реутов, ул. Комсомольская, д.18/2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</si>
  <si>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</si>
  <si>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</si>
  <si>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</si>
  <si>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 xml:space="preserve">Выполнено на 96%
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</si>
  <si>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</si>
  <si>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</si>
  <si>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</si>
  <si>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</si>
  <si>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Федеральный проект "Формирование комфортной городской среды"</t>
  </si>
  <si>
    <t>Приобретение техники для нужд благоустройства территории муниципальных образований Московской области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</si>
  <si>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 в городском округе Реутов</t>
  </si>
  <si>
    <t>Разработка проекта капитального ремонта систем наружного и архитектурно-художественного освещения в рамках реализации приоритетного проекта "Светлый город"</t>
  </si>
  <si>
    <t>Обустройство и установка детских игровых площадок на территории муниципальных образований Московской области</t>
  </si>
  <si>
    <t xml:space="preserve">Выполнено на 99,4%
</t>
  </si>
  <si>
    <t>Обустройство и установка детских игровых площадок на территории парков культуры и отдыха Московской области</t>
  </si>
  <si>
    <t>Капитальный ремонт систем наружного и архитектурно-художественного освещения в рамках реализации приоритетного проекта "Светлый город"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</si>
  <si>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</si>
  <si>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</si>
  <si>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</si>
  <si>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</si>
  <si>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</si>
  <si>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</si>
  <si>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Установка камер видеонаблюдения в подъездах многоквартирных домов на территории муниципального образования</t>
  </si>
  <si>
    <t>Развитие инженерной инфраструктуры и энергоэффективности на 2018-2022 годы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</si>
  <si>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</si>
  <si>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</si>
  <si>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</si>
  <si>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</si>
  <si>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</si>
  <si>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Выполнено на 100%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</si>
  <si>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</si>
  <si>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</si>
  <si>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</si>
  <si>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</si>
  <si>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</si>
  <si>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</si>
  <si>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</si>
  <si>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 xml:space="preserve">Финансирование не запланировано
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</si>
  <si>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</si>
  <si>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</si>
  <si>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</si>
  <si>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</si>
  <si>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Развитие образования и воспитание в городском округе Реутов на 2017-2021 годы</t>
  </si>
  <si>
    <t>«Дошкольное образование»</t>
  </si>
  <si>
    <t xml:space="preserve">Выполнено на 97,6%
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</si>
  <si>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</si>
  <si>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</si>
  <si>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 xml:space="preserve">Финансирование
не предусмотрено
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</si>
  <si>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</si>
  <si>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</si>
  <si>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</si>
  <si>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</si>
  <si>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</si>
  <si>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</si>
  <si>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 xml:space="preserve">Проведение государственной экспертизы проектной документации по объекту капитального строительства "Детский сад на 210 мест с бассейном по адресу: М.О. г.Реутов, ул.Гагарина, д.20 (корректировка) </t>
  </si>
  <si>
    <t>Изготовление технического паспорта на объект капитального строительства "Детский сад на 210 мест с бассейном по адресу: М.О. г.Реутов, ул.Гагарина д.20</t>
  </si>
  <si>
    <t>Бюджетные инвестиции в объекты капитального строительства "Детский сад на 210 мест с бассейном по адресу: М.О. г.Реутов, ул.Гагарина д.20"</t>
  </si>
  <si>
    <t>Техническая инвентаризация объекта капитального строительства "Детский сад на 210 мест с бассейном по адресу: М.О. г.Реутов, ул.Гагарина д.20"</t>
  </si>
  <si>
    <t>Изготовление технического плана на объект капитального строительства "Детский сад на 210 мест с бассейном по адресу: М.О. г.Реутов, ул.Гагарина д.20"</t>
  </si>
  <si>
    <t>Осуществление технологического присоединения к электрическим сетям объекта капитального строительства "Детский сад на 210 мест с бассейном по адресу: М.О. г.Реутов, ул Гагарина д.20"</t>
  </si>
  <si>
    <t>Координирование объекта недвижимости "Детский сад на 210 мест с бассейном по адресу: МО г.Реутов, ул.Гагарина, д.20</t>
  </si>
  <si>
    <t>Выполнение проектно-изыскательных работ по строительству детского сада на 140 мест по адресу: Московская область, г.Реутов, ул.Котовского (территория д.10 и д.10а)</t>
  </si>
  <si>
    <t>Выполнение работ по инженерно-геодезическим изысканиям (топографическая съемка) по строительству детского сада на 140 мест по адресу: Московская обл., г. Реутов, ул.Котовского</t>
  </si>
  <si>
    <t>Приобретение (выкуп) нежилых помещений под размещение групп раннего и дошкольного возраста</t>
  </si>
  <si>
    <t>Технологическое присоединение объекта "Детский сад по адресу:Московская область, г.Реутов, ул.Гагарина, 20"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</si>
  <si>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</si>
  <si>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</si>
  <si>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</si>
  <si>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</si>
  <si>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>Выполнено на 74,4%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</si>
  <si>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</si>
  <si>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Выполнено на 74,8%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</si>
  <si>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</si>
  <si>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</si>
  <si>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Выполнено на 34%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</si>
  <si>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</si>
  <si>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</si>
  <si>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Оплата труда педагогических работников, учебно-вспомогательного персонала, прочего персонала</t>
  </si>
  <si>
    <t>Приобретение учебников и учебных пособий, средств обучения, игр, игрушек</t>
  </si>
  <si>
    <t>Выполнено на 96,7%</t>
  </si>
  <si>
    <t>Расходы на муниципальное задание (по содержанию зданий, коммунальные услуги, прочие расходы, работы и услуги)</t>
  </si>
  <si>
    <t xml:space="preserve">Выполнено на 94,6%
</t>
  </si>
  <si>
    <t>Мероприятие 4.2.1.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</si>
  <si>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</si>
  <si>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 xml:space="preserve">Выполнено на 95,8%
</t>
  </si>
  <si>
    <t>Мероприятие 4.2.2.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</si>
  <si>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</si>
  <si>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 xml:space="preserve">Выполнено на 94,2%
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</si>
  <si>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</si>
  <si>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</si>
  <si>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Организация капитального, текущего ремонта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</si>
  <si>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</si>
  <si>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</si>
  <si>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>Выполнено на 93,7%</t>
  </si>
  <si>
    <t>Проведение капитального, текущего ремонта в муниципальных организациях дошкольного образования</t>
  </si>
  <si>
    <t>Ремонт помещений для групп кратковременного пребывания МАДОУ №19 "Сказка"</t>
  </si>
  <si>
    <t>Обслуживание зданий, сооружений и прилегающей территории дошкольных образовательных организации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</si>
  <si>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</si>
  <si>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Материально-техническое обеспечение дошкольных образовательных организации в связи с увеличением контингента с 01.09.2018г.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</si>
  <si>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</si>
  <si>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4.14.</t>
  </si>
  <si>
    <t>Проведение аккарицидной обработки обработки территории дошкольных образовательных учреждений</t>
  </si>
  <si>
    <t>Мероприятие 4.15.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</si>
  <si>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</si>
  <si>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 xml:space="preserve">Выполнено на 98,2%
</t>
  </si>
  <si>
    <t>Мероприятие 4.16.</t>
  </si>
  <si>
    <t>Повышение квалификации руководящих кадров</t>
  </si>
  <si>
    <t>Мероприятие 4.17.</t>
  </si>
  <si>
    <t>Аттестация рабочего места</t>
  </si>
  <si>
    <t>Мероприятие 4.18.</t>
  </si>
  <si>
    <t>Мероприятие 4.19.</t>
  </si>
  <si>
    <t>Укрепление материально-технической базы учреждений дошкольного образования</t>
  </si>
  <si>
    <t xml:space="preserve">Выполнено на 93,2%
</t>
  </si>
  <si>
    <t>Мероприятие 4.20.</t>
  </si>
  <si>
    <t>Выполнение работ по устройству спортивной площадки со спортивным оборудованием для Муниципального автономного дошкольного образовательного учреждения "Детский сад комбинированного вида №19 "Сказка"</t>
  </si>
  <si>
    <t>Мероприятие 4.21.</t>
  </si>
  <si>
    <t>Выплата заработной платы в муниципальных дошкольных и в общеобразовательных организациях за счет иных межбюджетных трансфертов в форме дотации</t>
  </si>
  <si>
    <t>«Общее образование»</t>
  </si>
  <si>
    <t xml:space="preserve">Выполнено на 94,8%
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</si>
  <si>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</si>
  <si>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</si>
  <si>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 xml:space="preserve">Выполнено на 94,5%
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</si>
  <si>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</si>
  <si>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 xml:space="preserve">Выполнено на 94,4%
</t>
  </si>
  <si>
    <t>Выполнено на 99,8%</t>
  </si>
  <si>
    <t>Мероприятие 2.1.3.</t>
  </si>
  <si>
    <t xml:space="preserve">Оплата вознаграждения за выполнение функций классного руководителя </t>
  </si>
  <si>
    <t>Выполнено на 84,8%</t>
  </si>
  <si>
    <t>Мероприятие 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</si>
  <si>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</si>
  <si>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Выполнено на 24,9%</t>
  </si>
  <si>
    <t>Предоставление субсидий для бюджетных общеобразовательных организаций на выполнение муниципального задания</t>
  </si>
  <si>
    <t xml:space="preserve">Выполнено на 93,4%
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</si>
  <si>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</si>
  <si>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</si>
  <si>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 xml:space="preserve">Выполнено на 85,2%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</si>
  <si>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</si>
  <si>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</si>
  <si>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</si>
  <si>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 xml:space="preserve">Выполнено на 97,4%
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</si>
  <si>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</si>
  <si>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</si>
  <si>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</si>
  <si>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</si>
  <si>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</si>
  <si>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</si>
  <si>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Выполнено на 85,8%</t>
  </si>
  <si>
    <t>Выплата компенсации работникам муниципальных образовательных учреждений, привлекаемых к проведению ГИА</t>
  </si>
  <si>
    <t xml:space="preserve">Выполнено 100%
</t>
  </si>
  <si>
    <t>Выплата заработной платы  в муниципальных дошкольных и в общеобразовательных организациях за счет иных межбюджетных трансфертов в форме дотации</t>
  </si>
  <si>
    <t>Выполнено на 0%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</si>
  <si>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</si>
  <si>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</si>
  <si>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</si>
  <si>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</si>
  <si>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</si>
  <si>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</si>
  <si>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</si>
  <si>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</si>
  <si>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</si>
  <si>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</si>
  <si>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</si>
  <si>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</si>
  <si>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</si>
  <si>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</si>
  <si>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</si>
  <si>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</si>
  <si>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</si>
  <si>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</si>
  <si>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</si>
  <si>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</si>
  <si>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</si>
  <si>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Выполнено на 98,7%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</si>
  <si>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</si>
  <si>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</si>
  <si>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</si>
  <si>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</si>
  <si>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</si>
  <si>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</si>
  <si>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 xml:space="preserve">Выполнено на 52%
</t>
  </si>
  <si>
    <t>Открытие новых общеобразовательных учреждений</t>
  </si>
  <si>
    <t>Медосмотр сотрудников общеобразовательных учреждений, специальная оценка условий труда, обучение техники безопасности</t>
  </si>
  <si>
    <t xml:space="preserve">Выполнено на 98,3%
</t>
  </si>
  <si>
    <t>Мероприятие 6.7.</t>
  </si>
  <si>
    <t xml:space="preserve">Повышение квалификации </t>
  </si>
  <si>
    <t>Мероприятие 6.8.</t>
  </si>
  <si>
    <t>Проведение культурно-массовых мероприятий для учащихся общеобразовательных организации</t>
  </si>
  <si>
    <t>Основное мероприятие 1. Проведение капитального, текущего ремонта, ремонта образовательных организаций.</t>
  </si>
  <si>
    <t xml:space="preserve">Выполнено на 89%
</t>
  </si>
  <si>
    <t>Проведение капитального, текущего ремонта в муниципальных общеобразовательных организациях</t>
  </si>
  <si>
    <t xml:space="preserve">Выполнено на 87%
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</si>
  <si>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</si>
  <si>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Мероприятие 7.3.</t>
  </si>
  <si>
    <t>Приобретение новогодних украшений для общеобразовательных организации</t>
  </si>
  <si>
    <t>Мероприятие 7.4.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</si>
  <si>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</si>
  <si>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7.5.</t>
  </si>
  <si>
    <t>Выполнение ремонтных работ на школьном стадионе с заменой спортивного оборудования МБОУ СОШ 3</t>
  </si>
  <si>
    <t>Мероприятие 7.6.</t>
  </si>
  <si>
    <t>Ремонт зала хореографии и актового зала МБОУ СОШ №1</t>
  </si>
  <si>
    <t>Основное мероприятие 2: создание и развитие в общеобразовательных организациях условий для ликвидации второй смены</t>
  </si>
  <si>
    <t>Выполнение проектно-изыскательных работ по строительству пристройки  на 250 мест к зданию "Лицея", по адресу г.Реутов, ул.Южная д.8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</si>
  <si>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</si>
  <si>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</si>
  <si>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 xml:space="preserve">Выполнено на 86,5%
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</si>
  <si>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</si>
  <si>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«Детско-юношеская спортивная школа», Дом детского творчества</t>
  </si>
  <si>
    <t xml:space="preserve">Выполнено на 86,4%
</t>
  </si>
  <si>
    <t>Приалит</t>
  </si>
  <si>
    <t>«Хоровая студия «Радуга»</t>
  </si>
  <si>
    <t xml:space="preserve">Выполнено на 95,2%
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</si>
  <si>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</si>
  <si>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</si>
  <si>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"Приалит"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</si>
  <si>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</si>
  <si>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</si>
  <si>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</si>
  <si>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</si>
  <si>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</si>
  <si>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</si>
  <si>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</si>
  <si>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Создание и укрепление материально-технической базы для учащихся, организация и проведение форумов МБУ ДО "ДДТ"</t>
  </si>
  <si>
    <t>Приобретение музыкальных инструментов для муниципальных организации дополнительного образования Московской области, осуществляющих деятельность в сфере культуры</t>
  </si>
  <si>
    <t>Приобретение оборудования, музыкальных инструментов, материальных запасов для муниципальных учреждений дополнительного образования</t>
  </si>
  <si>
    <t>Реализация отдельных мероприятий муниципальных программ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</si>
  <si>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</si>
  <si>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</si>
  <si>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 xml:space="preserve">Выполнено на 100%
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</si>
  <si>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</si>
  <si>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</si>
  <si>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</si>
  <si>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</si>
  <si>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</si>
  <si>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</si>
  <si>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</si>
  <si>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</si>
  <si>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</si>
  <si>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</si>
  <si>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</si>
  <si>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9: Реализация мер,направленных на формирование у обучающихся коммуникативной компетенции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</si>
  <si>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</si>
  <si>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 xml:space="preserve">Выполнено на 98,1%
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</si>
  <si>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</si>
  <si>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</si>
  <si>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</si>
  <si>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</si>
  <si>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</si>
  <si>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 xml:space="preserve">Выполнено на 68,7%
</t>
  </si>
  <si>
    <t>Предоставление субсидий на оплату труда и начисления</t>
  </si>
  <si>
    <t>Закупка товаров, работ, услуг</t>
  </si>
  <si>
    <t xml:space="preserve">Выполнено на 86,3%
</t>
  </si>
  <si>
    <t>Выполнено на 96,5%</t>
  </si>
  <si>
    <t>Цифровой городской округ Реутов на 2018-2022 годы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</si>
  <si>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</si>
  <si>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Федеральный проект "Информационная инфраструктура"</t>
  </si>
  <si>
    <t xml:space="preserve">Обеспечение доступности для населения муниципального образования Московской области современных услуг широкополосного доступа в сеть интернет 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</si>
  <si>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на скорости: для дошкольных образовательных организаций – не менее  2 Мбит/с; для общеобразовательных организаций, расположенных в городских поселениях и городских округах, - не менее 100 Мбит/с; для общеобразовательных организаций, расположенных в сельских населенных пунктах, – не менее 50 Мбит/с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</si>
  <si>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электросвязи.</t>
  </si>
  <si>
    <t xml:space="preserve">Выполнено на 88,2%
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</si>
  <si>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ней.</t>
  </si>
  <si>
    <t>Обеспечение оборудованием и поддержание его работоспособности.</t>
  </si>
  <si>
    <t>Создание условий для размещения радиоэлектронных средств на земельных участках, зданиях и сооружениях в границах муниципального образования.</t>
  </si>
  <si>
    <t>Федеральный проект "Информационная безопасность"</t>
  </si>
  <si>
    <t>Приобретение, установка, настройка, монтаж 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</si>
  <si>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 xml:space="preserve">Федеральный проект «Цифровое государственное управление»  </t>
  </si>
  <si>
    <t>Обеспечение программными продуктами.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</si>
  <si>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</si>
  <si>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</si>
  <si>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 xml:space="preserve">Выполнено на 97,7%
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</si>
  <si>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</si>
  <si>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«Цифровая образовательная среда».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</si>
  <si>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</si>
  <si>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</si>
  <si>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Оснащение планшетными компьютерами общеобразовательных организаций в муниципальном образовании Московской области </t>
  </si>
  <si>
    <t xml:space="preserve"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 </t>
  </si>
  <si>
    <t>Федеральный проект «Цифровая культура»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</si>
  <si>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</si>
  <si>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</si>
  <si>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</si>
  <si>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</si>
  <si>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</si>
  <si>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</si>
  <si>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Мероприятие 1.2.1.</t>
  </si>
  <si>
    <t>Оплата труда и начисления на выплаты по оплате труда</t>
  </si>
  <si>
    <t>Мероприятие 1.2.2.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</si>
  <si>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</si>
  <si>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Мероприятие 1.2.3.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</si>
  <si>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</si>
  <si>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</si>
  <si>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</si>
  <si>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Мероприятие 1.2.4.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</si>
  <si>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</si>
  <si>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1.2.5.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</si>
  <si>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</si>
  <si>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Выполнено на 76,1%
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</si>
  <si>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</si>
  <si>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</si>
  <si>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Развитие системы информирования населения городского округа Реутов деятельности органов местного самоуправления на 2017-2021 годы 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</si>
  <si>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</si>
  <si>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</si>
  <si>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</si>
  <si>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</si>
  <si>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</si>
  <si>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</si>
  <si>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 xml:space="preserve">Выполнено на 97,5%
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</si>
  <si>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</si>
  <si>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</si>
  <si>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</si>
  <si>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Информирование населения муниципального образования посредством наружной рекламы</t>
  </si>
  <si>
    <t>Приведение в соответствие количества и фактического расположения рекламных конструкций на территории 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</si>
  <si>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</si>
  <si>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</si>
  <si>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 xml:space="preserve">Выполнено на 100 %
</t>
  </si>
  <si>
    <t xml:space="preserve">Выполнено на 99 %
</t>
  </si>
  <si>
    <t xml:space="preserve">Выполнено на 97,4 %
</t>
  </si>
  <si>
    <t xml:space="preserve">Выполнено на 92,7 %
</t>
  </si>
  <si>
    <t xml:space="preserve">Выполнено на 100 %
</t>
  </si>
  <si>
    <t xml:space="preserve">Выполнено на 93,5%
</t>
  </si>
  <si>
    <t xml:space="preserve">Выполнено на 98,4 %
</t>
  </si>
  <si>
    <t xml:space="preserve">Выполнено на 100%
</t>
  </si>
  <si>
    <t xml:space="preserve">Выполнено на 99,1 %
</t>
  </si>
  <si>
    <t xml:space="preserve">Выполнено на 98,2 %
</t>
  </si>
  <si>
    <t xml:space="preserve">Выполнено на 97,4 %
</t>
  </si>
  <si>
    <t xml:space="preserve">Выполнено на 98,7 %
</t>
  </si>
  <si>
    <t xml:space="preserve">Выполнено на 67,02 %
</t>
  </si>
  <si>
    <t xml:space="preserve">Выполнено на 65,7 %
</t>
  </si>
  <si>
    <t xml:space="preserve">Выполнено на 93,8 %
</t>
  </si>
  <si>
    <t xml:space="preserve">Выполнено на 96,8%
</t>
  </si>
  <si>
    <t xml:space="preserve">Выполнено на 98,7%
</t>
  </si>
  <si>
    <t xml:space="preserve">Выполнено на 98.6%
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</si>
  <si>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патолога-анатомического вскрытия</t>
  </si>
  <si>
    <t>Обеспечение участия спортсменов МАУ "Физкультурно-оздоровительный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</si>
  <si>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Приобретение культурных ценностей, реставрация музейных предметов</t>
  </si>
  <si>
    <t>Устройство и капитальный ремонт архитектурно-художественной подсветки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</si>
  <si>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 Московской области с целью возмещения расходов на присмотр и уход, содержание имущества и арендную плату за использование помещений </t>
  </si>
  <si>
    <t>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</si>
</sst>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protection locked="0"/>
    </xf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>
      <alignment horizontal="center" vertical="center"/>
    </xf>
    <xf numFmtId="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4" fontId="6" fillId="0" borderId="1" xfId="0" applyNumberFormat="1" applyFont="1" applyFill="1" applyBorder="1" applyAlignment="1" applyProtection="1">
      <alignment horizont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1" applyNumberFormat="1" applyFont="1" applyFill="1" applyBorder="1" applyAlignment="1" applyProtection="1">
      <alignment horizontal="center" vertical="top" wrapText="1"/>
      <protection locked="0"/>
    </xf>
    <xf numFmtId="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0"/>
  <sheetViews>
    <sheetView tabSelected="1" workbookViewId="0">
      <selection activeCell="E7" sqref="E7"/>
    </sheetView>
  </sheetViews>
  <sheetFormatPr defaultRowHeight="15" x14ac:dyDescent="0.25"/>
  <cols>
    <col min="1" max="1" width="4.85546875" style="2" customWidth="1"/>
    <col min="2" max="2" width="19.42578125" style="2" customWidth="1"/>
    <col min="3" max="3" width="21.85546875" style="2" customWidth="1"/>
    <col min="4" max="4" width="34.28515625" style="2" customWidth="1"/>
    <col min="5" max="5" width="14" style="11" customWidth="1"/>
    <col min="6" max="6" width="13.85546875" style="11" customWidth="1"/>
    <col min="7" max="7" width="23.85546875" style="11" customWidth="1"/>
    <col min="8" max="8" width="16.28515625" style="17" customWidth="1"/>
    <col min="9" max="16384" width="9.140625" style="2"/>
  </cols>
  <sheetData>
    <row r="1" spans="1:8" ht="15.75" x14ac:dyDescent="0.25">
      <c r="C1" s="7" t="s">
        <v>0</v>
      </c>
      <c r="D1" s="7"/>
      <c r="E1" s="7"/>
      <c r="H1" s="13"/>
    </row>
    <row r="2" spans="1:8" ht="15.75" x14ac:dyDescent="0.25">
      <c r="C2" s="7" t="s">
        <v>1</v>
      </c>
      <c r="D2" s="7"/>
      <c r="E2" s="7"/>
      <c r="H2" s="13"/>
    </row>
    <row r="3" spans="1:8" ht="15.75" x14ac:dyDescent="0.25">
      <c r="C3" s="7" t="s">
        <v>1221</v>
      </c>
      <c r="D3" s="7"/>
      <c r="E3" s="7"/>
      <c r="H3" s="13"/>
    </row>
    <row r="4" spans="1:8" x14ac:dyDescent="0.25">
      <c r="H4" s="13"/>
    </row>
    <row r="5" spans="1:8" ht="72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9</v>
      </c>
      <c r="F5" s="1" t="s">
        <v>6</v>
      </c>
      <c r="G5" s="18" t="s">
        <v>7</v>
      </c>
      <c r="H5" s="1" t="s">
        <v>8</v>
      </c>
    </row>
    <row r="6" spans="1:8" ht="38.25" x14ac:dyDescent="0.25">
      <c r="A6" s="8">
        <v>1</v>
      </c>
      <c r="B6" s="6" t="s">
        <v>91</v>
      </c>
      <c r="C6" s="19" t="s">
        <v>10</v>
      </c>
      <c r="D6" s="19" t="s">
        <v>11</v>
      </c>
      <c r="E6" s="14">
        <f>E7+E8+E9+E10+E11</f>
        <v>2838.17</v>
      </c>
      <c r="F6" s="14">
        <f>F7+F8+F9+F10+F11</f>
        <v>2838.17</v>
      </c>
      <c r="G6" s="14" t="s">
        <v>446</v>
      </c>
      <c r="H6" s="14">
        <f>H7+H8+H9+H10+H11</f>
        <v>2838.17</v>
      </c>
    </row>
    <row r="7" spans="1:8" ht="127.5" x14ac:dyDescent="0.25">
      <c r="A7" s="8"/>
      <c r="B7" s="6"/>
      <c r="C7" s="20" t="s">
        <v>12</v>
      </c>
      <c r="D7" s="20" t="s">
        <v>13</v>
      </c>
      <c r="E7" s="15">
        <f>600</f>
        <v>600</v>
      </c>
      <c r="F7" s="15">
        <f>600</f>
        <v>600</v>
      </c>
      <c r="G7" s="15" t="s">
        <v>446</v>
      </c>
      <c r="H7" s="15">
        <f>600</f>
        <v>600</v>
      </c>
    </row>
    <row r="8" spans="1:8" ht="63.75" x14ac:dyDescent="0.25">
      <c r="A8" s="8"/>
      <c r="B8" s="6"/>
      <c r="C8" s="20" t="s">
        <v>14</v>
      </c>
      <c r="D8" s="20" t="s">
        <v>15</v>
      </c>
      <c r="E8" s="15">
        <f>2238.17</f>
        <v>2238.17</v>
      </c>
      <c r="F8" s="15">
        <f>2238.17</f>
        <v>2238.17</v>
      </c>
      <c r="G8" s="15" t="s">
        <v>446</v>
      </c>
      <c r="H8" s="15">
        <f>2238.17</f>
        <v>2238.17</v>
      </c>
    </row>
    <row r="9" spans="1:8" ht="140.25" x14ac:dyDescent="0.25">
      <c r="A9" s="8"/>
      <c r="B9" s="6"/>
      <c r="C9" s="20" t="s">
        <v>16</v>
      </c>
      <c r="D9" s="20" t="s">
        <v>17</v>
      </c>
      <c r="E9" s="15">
        <f>0</f>
        <v>0</v>
      </c>
      <c r="F9" s="15">
        <f>0</f>
        <v>0</v>
      </c>
      <c r="G9" s="15" t="s">
        <v>18</v>
      </c>
      <c r="H9" s="15">
        <f>0</f>
        <v>0</v>
      </c>
    </row>
    <row r="10" spans="1:8" ht="63.75" x14ac:dyDescent="0.25">
      <c r="A10" s="8"/>
      <c r="B10" s="6"/>
      <c r="C10" s="20" t="s">
        <v>19</v>
      </c>
      <c r="D10" s="20" t="s">
        <v>20</v>
      </c>
      <c r="E10" s="15">
        <f>0</f>
        <v>0</v>
      </c>
      <c r="F10" s="15">
        <f>0</f>
        <v>0</v>
      </c>
      <c r="G10" s="15" t="s">
        <v>18</v>
      </c>
      <c r="H10" s="15">
        <f>0</f>
        <v>0</v>
      </c>
    </row>
    <row r="11" spans="1:8" ht="51" x14ac:dyDescent="0.25">
      <c r="A11" s="8"/>
      <c r="B11" s="6"/>
      <c r="C11" s="20" t="s">
        <v>21</v>
      </c>
      <c r="D11" s="20" t="s">
        <v>22</v>
      </c>
      <c r="E11" s="15">
        <f>0</f>
        <v>0</v>
      </c>
      <c r="F11" s="15">
        <f>0</f>
        <v>0</v>
      </c>
      <c r="G11" s="15" t="s">
        <v>18</v>
      </c>
      <c r="H11" s="15">
        <f>0</f>
        <v>0</v>
      </c>
    </row>
    <row r="12" spans="1:8" ht="38.25" x14ac:dyDescent="0.25">
      <c r="A12" s="8"/>
      <c r="B12" s="6"/>
      <c r="C12" s="19" t="s">
        <v>23</v>
      </c>
      <c r="D12" s="19" t="s">
        <v>24</v>
      </c>
      <c r="E12" s="14">
        <f>E13+E17+E20</f>
        <v>47983.430000000008</v>
      </c>
      <c r="F12" s="14">
        <f>F13+F17+F20</f>
        <v>47983.430000000008</v>
      </c>
      <c r="G12" s="14" t="s">
        <v>446</v>
      </c>
      <c r="H12" s="14">
        <f>H13+H17+H20</f>
        <v>47983.430000000008</v>
      </c>
    </row>
    <row r="13" spans="1:8" ht="51" x14ac:dyDescent="0.25">
      <c r="A13" s="8"/>
      <c r="B13" s="6"/>
      <c r="C13" s="20" t="s">
        <v>12</v>
      </c>
      <c r="D13" s="20" t="s">
        <v>25</v>
      </c>
      <c r="E13" s="15">
        <f>E14+E15+E16</f>
        <v>0</v>
      </c>
      <c r="F13" s="15">
        <f>F14+F15+F16</f>
        <v>0</v>
      </c>
      <c r="G13" s="15" t="s">
        <v>18</v>
      </c>
      <c r="H13" s="15">
        <f>H14+H15+H16</f>
        <v>0</v>
      </c>
    </row>
    <row r="14" spans="1:8" ht="51" x14ac:dyDescent="0.25">
      <c r="A14" s="8"/>
      <c r="B14" s="6"/>
      <c r="C14" s="21" t="s">
        <v>26</v>
      </c>
      <c r="D14" s="20" t="s">
        <v>27</v>
      </c>
      <c r="E14" s="15">
        <f>0</f>
        <v>0</v>
      </c>
      <c r="F14" s="15">
        <f>0</f>
        <v>0</v>
      </c>
      <c r="G14" s="15" t="s">
        <v>18</v>
      </c>
      <c r="H14" s="15">
        <f>0</f>
        <v>0</v>
      </c>
    </row>
    <row r="15" spans="1:8" ht="51" x14ac:dyDescent="0.25">
      <c r="A15" s="8"/>
      <c r="B15" s="6"/>
      <c r="C15" s="21" t="s">
        <v>28</v>
      </c>
      <c r="D15" s="20" t="s">
        <v>29</v>
      </c>
      <c r="E15" s="15">
        <f>0</f>
        <v>0</v>
      </c>
      <c r="F15" s="15">
        <f>0</f>
        <v>0</v>
      </c>
      <c r="G15" s="15" t="s">
        <v>18</v>
      </c>
      <c r="H15" s="15">
        <f>0</f>
        <v>0</v>
      </c>
    </row>
    <row r="16" spans="1:8" ht="63.75" x14ac:dyDescent="0.25">
      <c r="A16" s="8"/>
      <c r="B16" s="6"/>
      <c r="C16" s="21" t="s">
        <v>30</v>
      </c>
      <c r="D16" s="20" t="s">
        <v>31</v>
      </c>
      <c r="E16" s="15">
        <f>0</f>
        <v>0</v>
      </c>
      <c r="F16" s="15">
        <f>0</f>
        <v>0</v>
      </c>
      <c r="G16" s="15" t="s">
        <v>18</v>
      </c>
      <c r="H16" s="15">
        <f>0</f>
        <v>0</v>
      </c>
    </row>
    <row r="17" spans="1:8" ht="51" x14ac:dyDescent="0.25">
      <c r="A17" s="8"/>
      <c r="B17" s="6"/>
      <c r="C17" s="20" t="s">
        <v>14</v>
      </c>
      <c r="D17" s="20" t="s">
        <v>32</v>
      </c>
      <c r="E17" s="15">
        <f>E18+E19</f>
        <v>0</v>
      </c>
      <c r="F17" s="15">
        <f>F18+F19</f>
        <v>0</v>
      </c>
      <c r="G17" s="15" t="s">
        <v>18</v>
      </c>
      <c r="H17" s="15">
        <f>H18+H19</f>
        <v>0</v>
      </c>
    </row>
    <row r="18" spans="1:8" ht="51" x14ac:dyDescent="0.25">
      <c r="A18" s="8"/>
      <c r="B18" s="6"/>
      <c r="C18" s="21" t="s">
        <v>33</v>
      </c>
      <c r="D18" s="20" t="s">
        <v>34</v>
      </c>
      <c r="E18" s="15">
        <f>0</f>
        <v>0</v>
      </c>
      <c r="F18" s="15">
        <f>0</f>
        <v>0</v>
      </c>
      <c r="G18" s="15" t="s">
        <v>18</v>
      </c>
      <c r="H18" s="15">
        <f>0</f>
        <v>0</v>
      </c>
    </row>
    <row r="19" spans="1:8" ht="63.75" x14ac:dyDescent="0.25">
      <c r="A19" s="8"/>
      <c r="B19" s="6"/>
      <c r="C19" s="21" t="s">
        <v>35</v>
      </c>
      <c r="D19" s="20" t="s">
        <v>36</v>
      </c>
      <c r="E19" s="15">
        <f>0</f>
        <v>0</v>
      </c>
      <c r="F19" s="15">
        <f>0</f>
        <v>0</v>
      </c>
      <c r="G19" s="15" t="s">
        <v>18</v>
      </c>
      <c r="H19" s="15">
        <f>0</f>
        <v>0</v>
      </c>
    </row>
    <row r="20" spans="1:8" ht="38.25" x14ac:dyDescent="0.25">
      <c r="A20" s="8"/>
      <c r="B20" s="6"/>
      <c r="C20" s="20" t="s">
        <v>16</v>
      </c>
      <c r="D20" s="20" t="s">
        <v>37</v>
      </c>
      <c r="E20" s="15">
        <f>E21+E22+E23</f>
        <v>47983.430000000008</v>
      </c>
      <c r="F20" s="15">
        <f>F21+F22+F23</f>
        <v>47983.430000000008</v>
      </c>
      <c r="G20" s="15" t="s">
        <v>446</v>
      </c>
      <c r="H20" s="15">
        <f>H21+H22+H23</f>
        <v>47983.430000000008</v>
      </c>
    </row>
    <row r="21" spans="1:8" ht="51" x14ac:dyDescent="0.25">
      <c r="A21" s="8"/>
      <c r="B21" s="6"/>
      <c r="C21" s="21" t="s">
        <v>38</v>
      </c>
      <c r="D21" s="20" t="s">
        <v>39</v>
      </c>
      <c r="E21" s="15">
        <f>0</f>
        <v>0</v>
      </c>
      <c r="F21" s="15">
        <f>0</f>
        <v>0</v>
      </c>
      <c r="G21" s="15" t="s">
        <v>18</v>
      </c>
      <c r="H21" s="15">
        <f>0</f>
        <v>0</v>
      </c>
    </row>
    <row r="22" spans="1:8" ht="51" x14ac:dyDescent="0.25">
      <c r="A22" s="8"/>
      <c r="B22" s="6"/>
      <c r="C22" s="21" t="s">
        <v>40</v>
      </c>
      <c r="D22" s="20" t="s">
        <v>41</v>
      </c>
      <c r="E22" s="15">
        <f>0</f>
        <v>0</v>
      </c>
      <c r="F22" s="15">
        <f>0</f>
        <v>0</v>
      </c>
      <c r="G22" s="15" t="s">
        <v>18</v>
      </c>
      <c r="H22" s="15">
        <f>0</f>
        <v>0</v>
      </c>
    </row>
    <row r="23" spans="1:8" ht="127.5" x14ac:dyDescent="0.25">
      <c r="A23" s="8"/>
      <c r="B23" s="6"/>
      <c r="C23" s="21" t="s">
        <v>42</v>
      </c>
      <c r="D23" s="20" t="s">
        <v>43</v>
      </c>
      <c r="E23" s="15">
        <f>E24+E25+E26+E27+E28+E29+E30+E31+E32+E33</f>
        <v>47983.430000000008</v>
      </c>
      <c r="F23" s="15">
        <f>F24+F25+F26+F27+F28+F29+F30+F31+F32+F33</f>
        <v>47983.430000000008</v>
      </c>
      <c r="G23" s="15" t="s">
        <v>446</v>
      </c>
      <c r="H23" s="15">
        <f>H24+H25+H26+H27+H28+H29+H30+H31+H32+H33</f>
        <v>47983.430000000008</v>
      </c>
    </row>
    <row r="24" spans="1:8" ht="89.25" x14ac:dyDescent="0.25">
      <c r="A24" s="8"/>
      <c r="B24" s="6"/>
      <c r="C24" s="21" t="s">
        <v>44</v>
      </c>
      <c r="D24" s="20" t="s">
        <v>45</v>
      </c>
      <c r="E24" s="15">
        <f>0</f>
        <v>0</v>
      </c>
      <c r="F24" s="15">
        <f>0</f>
        <v>0</v>
      </c>
      <c r="G24" s="15" t="s">
        <v>18</v>
      </c>
      <c r="H24" s="15">
        <f>0</f>
        <v>0</v>
      </c>
    </row>
    <row r="25" spans="1:8" ht="51" x14ac:dyDescent="0.25">
      <c r="A25" s="8"/>
      <c r="B25" s="6"/>
      <c r="C25" s="21" t="s">
        <v>46</v>
      </c>
      <c r="D25" s="20" t="s">
        <v>47</v>
      </c>
      <c r="E25" s="15">
        <f>0</f>
        <v>0</v>
      </c>
      <c r="F25" s="15">
        <f>0</f>
        <v>0</v>
      </c>
      <c r="G25" s="15" t="s">
        <v>18</v>
      </c>
      <c r="H25" s="15">
        <f>0</f>
        <v>0</v>
      </c>
    </row>
    <row r="26" spans="1:8" ht="102" x14ac:dyDescent="0.25">
      <c r="A26" s="8"/>
      <c r="B26" s="6"/>
      <c r="C26" s="21" t="s">
        <v>48</v>
      </c>
      <c r="D26" s="20" t="s">
        <v>49</v>
      </c>
      <c r="E26" s="15">
        <f>0</f>
        <v>0</v>
      </c>
      <c r="F26" s="15">
        <f>0</f>
        <v>0</v>
      </c>
      <c r="G26" s="15" t="s">
        <v>18</v>
      </c>
      <c r="H26" s="15">
        <f>0</f>
        <v>0</v>
      </c>
    </row>
    <row r="27" spans="1:8" ht="102" x14ac:dyDescent="0.25">
      <c r="A27" s="8"/>
      <c r="B27" s="6"/>
      <c r="C27" s="21" t="s">
        <v>50</v>
      </c>
      <c r="D27" s="20" t="s">
        <v>51</v>
      </c>
      <c r="E27" s="15">
        <f>0</f>
        <v>0</v>
      </c>
      <c r="F27" s="15">
        <f>0</f>
        <v>0</v>
      </c>
      <c r="G27" s="15" t="s">
        <v>18</v>
      </c>
      <c r="H27" s="15">
        <f>0</f>
        <v>0</v>
      </c>
    </row>
    <row r="28" spans="1:8" ht="102" x14ac:dyDescent="0.25">
      <c r="A28" s="8"/>
      <c r="B28" s="6"/>
      <c r="C28" s="21" t="s">
        <v>52</v>
      </c>
      <c r="D28" s="20" t="s">
        <v>53</v>
      </c>
      <c r="E28" s="15">
        <f>0</f>
        <v>0</v>
      </c>
      <c r="F28" s="15">
        <f>0</f>
        <v>0</v>
      </c>
      <c r="G28" s="15" t="s">
        <v>18</v>
      </c>
      <c r="H28" s="15">
        <f>0</f>
        <v>0</v>
      </c>
    </row>
    <row r="29" spans="1:8" ht="63.75" x14ac:dyDescent="0.25">
      <c r="A29" s="8"/>
      <c r="B29" s="6"/>
      <c r="C29" s="21" t="s">
        <v>54</v>
      </c>
      <c r="D29" s="20" t="s">
        <v>55</v>
      </c>
      <c r="E29" s="15">
        <f>10994.29+9365.51+2610.84</f>
        <v>22970.640000000003</v>
      </c>
      <c r="F29" s="15">
        <f>10994.29+9365.51+2610.84</f>
        <v>22970.640000000003</v>
      </c>
      <c r="G29" s="15" t="s">
        <v>446</v>
      </c>
      <c r="H29" s="15">
        <f>10994.29+9365.51+2610.84</f>
        <v>22970.640000000003</v>
      </c>
    </row>
    <row r="30" spans="1:8" ht="63.75" x14ac:dyDescent="0.25">
      <c r="A30" s="8"/>
      <c r="B30" s="6"/>
      <c r="C30" s="21" t="s">
        <v>56</v>
      </c>
      <c r="D30" s="20" t="s">
        <v>57</v>
      </c>
      <c r="E30" s="15">
        <f>11971.71+10198.12+2842.96</f>
        <v>25012.79</v>
      </c>
      <c r="F30" s="15">
        <f>11971.71+10198.12+2842.96</f>
        <v>25012.79</v>
      </c>
      <c r="G30" s="15" t="s">
        <v>446</v>
      </c>
      <c r="H30" s="15">
        <f>11971.71+10198.12+2842.96</f>
        <v>25012.79</v>
      </c>
    </row>
    <row r="31" spans="1:8" ht="51" x14ac:dyDescent="0.25">
      <c r="A31" s="8"/>
      <c r="B31" s="6"/>
      <c r="C31" s="21" t="s">
        <v>58</v>
      </c>
      <c r="D31" s="20" t="s">
        <v>59</v>
      </c>
      <c r="E31" s="15">
        <f>0</f>
        <v>0</v>
      </c>
      <c r="F31" s="15">
        <f>0</f>
        <v>0</v>
      </c>
      <c r="G31" s="15" t="s">
        <v>18</v>
      </c>
      <c r="H31" s="15">
        <f>0</f>
        <v>0</v>
      </c>
    </row>
    <row r="32" spans="1:8" ht="51" x14ac:dyDescent="0.25">
      <c r="A32" s="8"/>
      <c r="B32" s="6"/>
      <c r="C32" s="21" t="s">
        <v>60</v>
      </c>
      <c r="D32" s="20" t="s">
        <v>61</v>
      </c>
      <c r="E32" s="15">
        <f>0</f>
        <v>0</v>
      </c>
      <c r="F32" s="15">
        <f>0</f>
        <v>0</v>
      </c>
      <c r="G32" s="15" t="s">
        <v>18</v>
      </c>
      <c r="H32" s="15">
        <f>0</f>
        <v>0</v>
      </c>
    </row>
    <row r="33" spans="1:8" ht="51" x14ac:dyDescent="0.25">
      <c r="A33" s="8"/>
      <c r="B33" s="6"/>
      <c r="C33" s="21" t="s">
        <v>62</v>
      </c>
      <c r="D33" s="20" t="s">
        <v>61</v>
      </c>
      <c r="E33" s="15">
        <f>0</f>
        <v>0</v>
      </c>
      <c r="F33" s="15">
        <f>0</f>
        <v>0</v>
      </c>
      <c r="G33" s="15" t="s">
        <v>18</v>
      </c>
      <c r="H33" s="15">
        <f>0</f>
        <v>0</v>
      </c>
    </row>
    <row r="34" spans="1:8" ht="51" x14ac:dyDescent="0.25">
      <c r="A34" s="8"/>
      <c r="B34" s="6"/>
      <c r="C34" s="19" t="s">
        <v>63</v>
      </c>
      <c r="D34" s="19" t="s">
        <v>64</v>
      </c>
      <c r="E34" s="14">
        <f>E35+E36+E37+E38+E39+E40+E41+E42+E43+E44+E45+E46</f>
        <v>123370.8</v>
      </c>
      <c r="F34" s="14">
        <f>F35+F36+F37+F38+F39+F40+F41+F42+F43+F44+F45+F46</f>
        <v>123370.77</v>
      </c>
      <c r="G34" s="14" t="s">
        <v>1113</v>
      </c>
      <c r="H34" s="14">
        <f>H35+H36+H37+H38+H39+H40+H41+H42+H43+H44+H45+H46</f>
        <v>123370.77</v>
      </c>
    </row>
    <row r="35" spans="1:8" ht="51" x14ac:dyDescent="0.25">
      <c r="A35" s="8"/>
      <c r="B35" s="6"/>
      <c r="C35" s="20" t="s">
        <v>12</v>
      </c>
      <c r="D35" s="20" t="s">
        <v>65</v>
      </c>
      <c r="E35" s="15">
        <f>0</f>
        <v>0</v>
      </c>
      <c r="F35" s="15">
        <f>0</f>
        <v>0</v>
      </c>
      <c r="G35" s="15" t="s">
        <v>18</v>
      </c>
      <c r="H35" s="15">
        <f>0</f>
        <v>0</v>
      </c>
    </row>
    <row r="36" spans="1:8" ht="51" x14ac:dyDescent="0.25">
      <c r="A36" s="8"/>
      <c r="B36" s="6"/>
      <c r="C36" s="20" t="s">
        <v>14</v>
      </c>
      <c r="D36" s="20" t="s">
        <v>66</v>
      </c>
      <c r="E36" s="15">
        <f>0</f>
        <v>0</v>
      </c>
      <c r="F36" s="15">
        <f>0</f>
        <v>0</v>
      </c>
      <c r="G36" s="15" t="s">
        <v>18</v>
      </c>
      <c r="H36" s="15">
        <f>0</f>
        <v>0</v>
      </c>
    </row>
    <row r="37" spans="1:8" ht="51" x14ac:dyDescent="0.25">
      <c r="A37" s="8"/>
      <c r="B37" s="6"/>
      <c r="C37" s="20" t="s">
        <v>16</v>
      </c>
      <c r="D37" s="20" t="s">
        <v>67</v>
      </c>
      <c r="E37" s="15">
        <f>123000</f>
        <v>123000</v>
      </c>
      <c r="F37" s="15">
        <f>123000</f>
        <v>123000</v>
      </c>
      <c r="G37" s="15" t="s">
        <v>1198</v>
      </c>
      <c r="H37" s="15">
        <f>123000</f>
        <v>123000</v>
      </c>
    </row>
    <row r="38" spans="1:8" ht="51" x14ac:dyDescent="0.25">
      <c r="A38" s="8"/>
      <c r="B38" s="6"/>
      <c r="C38" s="20" t="s">
        <v>19</v>
      </c>
      <c r="D38" s="20" t="s">
        <v>68</v>
      </c>
      <c r="E38" s="15">
        <f>0</f>
        <v>0</v>
      </c>
      <c r="F38" s="15">
        <f>0</f>
        <v>0</v>
      </c>
      <c r="G38" s="15" t="s">
        <v>18</v>
      </c>
      <c r="H38" s="15">
        <f>0</f>
        <v>0</v>
      </c>
    </row>
    <row r="39" spans="1:8" ht="51" x14ac:dyDescent="0.25">
      <c r="A39" s="8"/>
      <c r="B39" s="6"/>
      <c r="C39" s="20" t="s">
        <v>21</v>
      </c>
      <c r="D39" s="20" t="s">
        <v>69</v>
      </c>
      <c r="E39" s="15">
        <f>0</f>
        <v>0</v>
      </c>
      <c r="F39" s="15">
        <f>0</f>
        <v>0</v>
      </c>
      <c r="G39" s="15" t="s">
        <v>18</v>
      </c>
      <c r="H39" s="15">
        <f>0</f>
        <v>0</v>
      </c>
    </row>
    <row r="40" spans="1:8" ht="76.5" x14ac:dyDescent="0.25">
      <c r="A40" s="8"/>
      <c r="B40" s="6"/>
      <c r="C40" s="20" t="s">
        <v>70</v>
      </c>
      <c r="D40" s="20" t="s">
        <v>71</v>
      </c>
      <c r="E40" s="15">
        <f>0</f>
        <v>0</v>
      </c>
      <c r="F40" s="15">
        <f>0</f>
        <v>0</v>
      </c>
      <c r="G40" s="15" t="s">
        <v>18</v>
      </c>
      <c r="H40" s="15">
        <f>0</f>
        <v>0</v>
      </c>
    </row>
    <row r="41" spans="1:8" ht="63.75" x14ac:dyDescent="0.25">
      <c r="A41" s="8"/>
      <c r="B41" s="6"/>
      <c r="C41" s="20" t="s">
        <v>72</v>
      </c>
      <c r="D41" s="20" t="s">
        <v>73</v>
      </c>
      <c r="E41" s="15">
        <f>0</f>
        <v>0</v>
      </c>
      <c r="F41" s="15">
        <f>0</f>
        <v>0</v>
      </c>
      <c r="G41" s="15" t="s">
        <v>18</v>
      </c>
      <c r="H41" s="15">
        <f>0</f>
        <v>0</v>
      </c>
    </row>
    <row r="42" spans="1:8" ht="51" x14ac:dyDescent="0.25">
      <c r="A42" s="8"/>
      <c r="B42" s="6"/>
      <c r="C42" s="20" t="s">
        <v>74</v>
      </c>
      <c r="D42" s="20" t="s">
        <v>75</v>
      </c>
      <c r="E42" s="15">
        <f>0</f>
        <v>0</v>
      </c>
      <c r="F42" s="15">
        <f>0</f>
        <v>0</v>
      </c>
      <c r="G42" s="15" t="s">
        <v>18</v>
      </c>
      <c r="H42" s="15">
        <f>0</f>
        <v>0</v>
      </c>
    </row>
    <row r="43" spans="1:8" ht="51" x14ac:dyDescent="0.25">
      <c r="A43" s="8"/>
      <c r="B43" s="6"/>
      <c r="C43" s="20" t="s">
        <v>74</v>
      </c>
      <c r="D43" s="20" t="s">
        <v>76</v>
      </c>
      <c r="E43" s="15">
        <f>0</f>
        <v>0</v>
      </c>
      <c r="F43" s="15">
        <f>0</f>
        <v>0</v>
      </c>
      <c r="G43" s="15" t="s">
        <v>18</v>
      </c>
      <c r="H43" s="15">
        <f>0</f>
        <v>0</v>
      </c>
    </row>
    <row r="44" spans="1:8" ht="51" x14ac:dyDescent="0.25">
      <c r="A44" s="8"/>
      <c r="B44" s="6"/>
      <c r="C44" s="20" t="s">
        <v>77</v>
      </c>
      <c r="D44" s="20" t="s">
        <v>78</v>
      </c>
      <c r="E44" s="15">
        <f>0</f>
        <v>0</v>
      </c>
      <c r="F44" s="15">
        <f>0</f>
        <v>0</v>
      </c>
      <c r="G44" s="15" t="s">
        <v>18</v>
      </c>
      <c r="H44" s="15">
        <f>0</f>
        <v>0</v>
      </c>
    </row>
    <row r="45" spans="1:8" ht="51" x14ac:dyDescent="0.25">
      <c r="A45" s="8"/>
      <c r="B45" s="6"/>
      <c r="C45" s="20" t="s">
        <v>79</v>
      </c>
      <c r="D45" s="20" t="s">
        <v>80</v>
      </c>
      <c r="E45" s="15">
        <f>0</f>
        <v>0</v>
      </c>
      <c r="F45" s="15">
        <f>0</f>
        <v>0</v>
      </c>
      <c r="G45" s="15" t="s">
        <v>18</v>
      </c>
      <c r="H45" s="15">
        <f>0</f>
        <v>0</v>
      </c>
    </row>
    <row r="46" spans="1:8" ht="102" x14ac:dyDescent="0.25">
      <c r="A46" s="8"/>
      <c r="B46" s="6"/>
      <c r="C46" s="20" t="s">
        <v>81</v>
      </c>
      <c r="D46" s="20" t="s">
        <v>1216</v>
      </c>
      <c r="E46" s="15">
        <f>370.8</f>
        <v>370.8</v>
      </c>
      <c r="F46" s="15">
        <f>370.77</f>
        <v>370.77</v>
      </c>
      <c r="G46" s="15" t="s">
        <v>1198</v>
      </c>
      <c r="H46" s="15">
        <f>370.77</f>
        <v>370.77</v>
      </c>
    </row>
    <row r="47" spans="1:8" ht="51" x14ac:dyDescent="0.25">
      <c r="A47" s="8"/>
      <c r="B47" s="6"/>
      <c r="C47" s="19" t="s">
        <v>82</v>
      </c>
      <c r="D47" s="19" t="s">
        <v>83</v>
      </c>
      <c r="E47" s="14">
        <f>E48</f>
        <v>0</v>
      </c>
      <c r="F47" s="14">
        <f>F48</f>
        <v>0</v>
      </c>
      <c r="G47" s="14" t="s">
        <v>18</v>
      </c>
      <c r="H47" s="14">
        <f>H48</f>
        <v>0</v>
      </c>
    </row>
    <row r="48" spans="1:8" ht="63.75" x14ac:dyDescent="0.25">
      <c r="A48" s="8"/>
      <c r="B48" s="6"/>
      <c r="C48" s="20" t="s">
        <v>12</v>
      </c>
      <c r="D48" s="20" t="s">
        <v>84</v>
      </c>
      <c r="E48" s="15">
        <f>E49+E50+E51+E52+E53</f>
        <v>0</v>
      </c>
      <c r="F48" s="15">
        <f>F49+F50+F51+F52+F53</f>
        <v>0</v>
      </c>
      <c r="G48" s="15" t="s">
        <v>18</v>
      </c>
      <c r="H48" s="15">
        <f>H49+H50+H51+H52+H53</f>
        <v>0</v>
      </c>
    </row>
    <row r="49" spans="1:8" ht="51" x14ac:dyDescent="0.25">
      <c r="A49" s="8"/>
      <c r="B49" s="6"/>
      <c r="C49" s="21" t="s">
        <v>26</v>
      </c>
      <c r="D49" s="20" t="s">
        <v>85</v>
      </c>
      <c r="E49" s="15">
        <f>0</f>
        <v>0</v>
      </c>
      <c r="F49" s="15">
        <f>0</f>
        <v>0</v>
      </c>
      <c r="G49" s="15" t="s">
        <v>18</v>
      </c>
      <c r="H49" s="15">
        <f>0</f>
        <v>0</v>
      </c>
    </row>
    <row r="50" spans="1:8" ht="51" x14ac:dyDescent="0.25">
      <c r="A50" s="8"/>
      <c r="B50" s="6"/>
      <c r="C50" s="21" t="s">
        <v>28</v>
      </c>
      <c r="D50" s="20" t="s">
        <v>86</v>
      </c>
      <c r="E50" s="15">
        <f>0</f>
        <v>0</v>
      </c>
      <c r="F50" s="15">
        <f>0</f>
        <v>0</v>
      </c>
      <c r="G50" s="15" t="s">
        <v>18</v>
      </c>
      <c r="H50" s="15">
        <f>0</f>
        <v>0</v>
      </c>
    </row>
    <row r="51" spans="1:8" ht="51" x14ac:dyDescent="0.25">
      <c r="A51" s="8"/>
      <c r="B51" s="6"/>
      <c r="C51" s="21" t="s">
        <v>30</v>
      </c>
      <c r="D51" s="20" t="s">
        <v>86</v>
      </c>
      <c r="E51" s="15">
        <f>0</f>
        <v>0</v>
      </c>
      <c r="F51" s="15">
        <f>0</f>
        <v>0</v>
      </c>
      <c r="G51" s="15" t="s">
        <v>18</v>
      </c>
      <c r="H51" s="15">
        <f>0</f>
        <v>0</v>
      </c>
    </row>
    <row r="52" spans="1:8" ht="51" x14ac:dyDescent="0.25">
      <c r="A52" s="8"/>
      <c r="B52" s="6"/>
      <c r="C52" s="21" t="s">
        <v>87</v>
      </c>
      <c r="D52" s="20" t="s">
        <v>88</v>
      </c>
      <c r="E52" s="15">
        <f>0</f>
        <v>0</v>
      </c>
      <c r="F52" s="15">
        <f>0</f>
        <v>0</v>
      </c>
      <c r="G52" s="15" t="s">
        <v>18</v>
      </c>
      <c r="H52" s="15">
        <f>0</f>
        <v>0</v>
      </c>
    </row>
    <row r="53" spans="1:8" ht="51" x14ac:dyDescent="0.25">
      <c r="A53" s="8"/>
      <c r="B53" s="6"/>
      <c r="C53" s="21" t="s">
        <v>89</v>
      </c>
      <c r="D53" s="20" t="s">
        <v>86</v>
      </c>
      <c r="E53" s="15">
        <f>0</f>
        <v>0</v>
      </c>
      <c r="F53" s="15">
        <f>0</f>
        <v>0</v>
      </c>
      <c r="G53" s="15" t="s">
        <v>18</v>
      </c>
      <c r="H53" s="15">
        <f>0</f>
        <v>0</v>
      </c>
    </row>
    <row r="54" spans="1:8" ht="15.75" customHeight="1" x14ac:dyDescent="0.25">
      <c r="A54" s="8"/>
      <c r="B54" s="6"/>
      <c r="C54" s="22" t="s">
        <v>90</v>
      </c>
      <c r="D54" s="22"/>
      <c r="E54" s="16">
        <f>E6+E12+E34+E47</f>
        <v>174192.40000000002</v>
      </c>
      <c r="F54" s="16">
        <f>F6+F12+F34+F47</f>
        <v>174192.37</v>
      </c>
      <c r="G54" s="16" t="s">
        <v>1198</v>
      </c>
      <c r="H54" s="16">
        <f>H6+H12+H34+H47</f>
        <v>174192.37</v>
      </c>
    </row>
    <row r="55" spans="1:8" ht="63.75" x14ac:dyDescent="0.25">
      <c r="A55" s="8">
        <v>2</v>
      </c>
      <c r="B55" s="6" t="s">
        <v>229</v>
      </c>
      <c r="C55" s="19" t="s">
        <v>10</v>
      </c>
      <c r="D55" s="19" t="s">
        <v>92</v>
      </c>
      <c r="E55" s="14">
        <f>E56+E57+E58+E59+E60+E61+E62+E63+E64+E65+E66+E67+E68+E69+E70+E71+E72+E73+E74+E75+E76+E77+E78+E79+E80</f>
        <v>9580.86</v>
      </c>
      <c r="F55" s="14">
        <f>F56+F57+F58+F59+F60+F61+F62+F63+F64+F65+F66+F67+F68+F69+F70+F71+F72+F73+F74+F75+F76+F77+F78+F79+F80</f>
        <v>9564.0599999999977</v>
      </c>
      <c r="G55" s="14" t="s">
        <v>527</v>
      </c>
      <c r="H55" s="14">
        <f>H56+H57+H58+H59+H60+H61+H62+H63+H64+H65+H66+H67+H68+H69+H70+H71+H72+H73+H74+H75+H76+H77+H78+H79+H80</f>
        <v>9564.0599999999977</v>
      </c>
    </row>
    <row r="56" spans="1:8" ht="38.25" x14ac:dyDescent="0.25">
      <c r="A56" s="8"/>
      <c r="B56" s="6"/>
      <c r="C56" s="20" t="s">
        <v>26</v>
      </c>
      <c r="D56" s="20" t="s">
        <v>93</v>
      </c>
      <c r="E56" s="15">
        <f>60</f>
        <v>60</v>
      </c>
      <c r="F56" s="15">
        <f>60</f>
        <v>60</v>
      </c>
      <c r="G56" s="15" t="s">
        <v>446</v>
      </c>
      <c r="H56" s="15">
        <f>60</f>
        <v>60</v>
      </c>
    </row>
    <row r="57" spans="1:8" ht="102" x14ac:dyDescent="0.25">
      <c r="A57" s="8"/>
      <c r="B57" s="6"/>
      <c r="C57" s="20" t="s">
        <v>28</v>
      </c>
      <c r="D57" s="20" t="s">
        <v>94</v>
      </c>
      <c r="E57" s="15">
        <f>200</f>
        <v>200</v>
      </c>
      <c r="F57" s="15">
        <f>198</f>
        <v>198</v>
      </c>
      <c r="G57" s="15" t="s">
        <v>1199</v>
      </c>
      <c r="H57" s="15">
        <f>198</f>
        <v>198</v>
      </c>
    </row>
    <row r="58" spans="1:8" ht="76.5" x14ac:dyDescent="0.25">
      <c r="A58" s="8"/>
      <c r="B58" s="6"/>
      <c r="C58" s="20" t="s">
        <v>30</v>
      </c>
      <c r="D58" s="20" t="s">
        <v>95</v>
      </c>
      <c r="E58" s="15">
        <f>23</f>
        <v>23</v>
      </c>
      <c r="F58" s="15">
        <f>23</f>
        <v>23</v>
      </c>
      <c r="G58" s="15" t="s">
        <v>1198</v>
      </c>
      <c r="H58" s="15">
        <f>23</f>
        <v>23</v>
      </c>
    </row>
    <row r="59" spans="1:8" ht="51" x14ac:dyDescent="0.25">
      <c r="A59" s="8"/>
      <c r="B59" s="6"/>
      <c r="C59" s="20" t="s">
        <v>87</v>
      </c>
      <c r="D59" s="20" t="s">
        <v>96</v>
      </c>
      <c r="E59" s="15">
        <f>0</f>
        <v>0</v>
      </c>
      <c r="F59" s="15">
        <f>0</f>
        <v>0</v>
      </c>
      <c r="G59" s="15" t="s">
        <v>18</v>
      </c>
      <c r="H59" s="15">
        <f>0</f>
        <v>0</v>
      </c>
    </row>
    <row r="60" spans="1:8" ht="38.25" x14ac:dyDescent="0.25">
      <c r="A60" s="8"/>
      <c r="B60" s="6"/>
      <c r="C60" s="20" t="s">
        <v>89</v>
      </c>
      <c r="D60" s="20" t="s">
        <v>97</v>
      </c>
      <c r="E60" s="15">
        <f>9.1</f>
        <v>9.1</v>
      </c>
      <c r="F60" s="15">
        <f>9.1</f>
        <v>9.1</v>
      </c>
      <c r="G60" s="15" t="s">
        <v>1198</v>
      </c>
      <c r="H60" s="15">
        <f>9.1</f>
        <v>9.1</v>
      </c>
    </row>
    <row r="61" spans="1:8" ht="51" x14ac:dyDescent="0.25">
      <c r="A61" s="8"/>
      <c r="B61" s="6"/>
      <c r="C61" s="20" t="s">
        <v>98</v>
      </c>
      <c r="D61" s="20" t="s">
        <v>99</v>
      </c>
      <c r="E61" s="15">
        <f>0</f>
        <v>0</v>
      </c>
      <c r="F61" s="15">
        <f>0</f>
        <v>0</v>
      </c>
      <c r="G61" s="15" t="s">
        <v>18</v>
      </c>
      <c r="H61" s="15">
        <f>0</f>
        <v>0</v>
      </c>
    </row>
    <row r="62" spans="1:8" ht="51" x14ac:dyDescent="0.25">
      <c r="A62" s="8"/>
      <c r="B62" s="6"/>
      <c r="C62" s="20" t="s">
        <v>100</v>
      </c>
      <c r="D62" s="20" t="s">
        <v>101</v>
      </c>
      <c r="E62" s="15">
        <f>0</f>
        <v>0</v>
      </c>
      <c r="F62" s="15">
        <f>0</f>
        <v>0</v>
      </c>
      <c r="G62" s="15" t="s">
        <v>18</v>
      </c>
      <c r="H62" s="15">
        <f>0</f>
        <v>0</v>
      </c>
    </row>
    <row r="63" spans="1:8" ht="51" x14ac:dyDescent="0.25">
      <c r="A63" s="8"/>
      <c r="B63" s="6"/>
      <c r="C63" s="20" t="s">
        <v>102</v>
      </c>
      <c r="D63" s="20" t="s">
        <v>103</v>
      </c>
      <c r="E63" s="15">
        <f>0</f>
        <v>0</v>
      </c>
      <c r="F63" s="15">
        <f>0</f>
        <v>0</v>
      </c>
      <c r="G63" s="15" t="s">
        <v>18</v>
      </c>
      <c r="H63" s="15">
        <f>0</f>
        <v>0</v>
      </c>
    </row>
    <row r="64" spans="1:8" ht="51" x14ac:dyDescent="0.25">
      <c r="A64" s="8"/>
      <c r="B64" s="6"/>
      <c r="C64" s="20" t="s">
        <v>104</v>
      </c>
      <c r="D64" s="20" t="s">
        <v>105</v>
      </c>
      <c r="E64" s="15">
        <f>0</f>
        <v>0</v>
      </c>
      <c r="F64" s="15">
        <f>0</f>
        <v>0</v>
      </c>
      <c r="G64" s="15" t="s">
        <v>18</v>
      </c>
      <c r="H64" s="15">
        <f>0</f>
        <v>0</v>
      </c>
    </row>
    <row r="65" spans="1:8" ht="51" x14ac:dyDescent="0.25">
      <c r="A65" s="8"/>
      <c r="B65" s="6"/>
      <c r="C65" s="20" t="s">
        <v>106</v>
      </c>
      <c r="D65" s="20" t="s">
        <v>107</v>
      </c>
      <c r="E65" s="15">
        <f>0</f>
        <v>0</v>
      </c>
      <c r="F65" s="15">
        <f>0</f>
        <v>0</v>
      </c>
      <c r="G65" s="15" t="s">
        <v>18</v>
      </c>
      <c r="H65" s="15">
        <f>0</f>
        <v>0</v>
      </c>
    </row>
    <row r="66" spans="1:8" ht="25.5" x14ac:dyDescent="0.25">
      <c r="A66" s="8"/>
      <c r="B66" s="6"/>
      <c r="C66" s="20" t="s">
        <v>108</v>
      </c>
      <c r="D66" s="20" t="s">
        <v>109</v>
      </c>
      <c r="E66" s="15">
        <f>47</f>
        <v>47</v>
      </c>
      <c r="F66" s="15">
        <f>45.76</f>
        <v>45.76</v>
      </c>
      <c r="G66" s="15" t="s">
        <v>1200</v>
      </c>
      <c r="H66" s="15">
        <f>45.76</f>
        <v>45.76</v>
      </c>
    </row>
    <row r="67" spans="1:8" ht="38.25" x14ac:dyDescent="0.25">
      <c r="A67" s="8"/>
      <c r="B67" s="6"/>
      <c r="C67" s="20" t="s">
        <v>110</v>
      </c>
      <c r="D67" s="20" t="s">
        <v>111</v>
      </c>
      <c r="E67" s="15">
        <f>50</f>
        <v>50</v>
      </c>
      <c r="F67" s="15">
        <f>50</f>
        <v>50</v>
      </c>
      <c r="G67" s="15" t="s">
        <v>1198</v>
      </c>
      <c r="H67" s="15">
        <f>50</f>
        <v>50</v>
      </c>
    </row>
    <row r="68" spans="1:8" ht="51" x14ac:dyDescent="0.25">
      <c r="A68" s="8"/>
      <c r="B68" s="6"/>
      <c r="C68" s="20" t="s">
        <v>112</v>
      </c>
      <c r="D68" s="20" t="s">
        <v>113</v>
      </c>
      <c r="E68" s="15">
        <f>46.36</f>
        <v>46.36</v>
      </c>
      <c r="F68" s="15">
        <f>43</f>
        <v>43</v>
      </c>
      <c r="G68" s="15" t="s">
        <v>1201</v>
      </c>
      <c r="H68" s="15">
        <f>43</f>
        <v>43</v>
      </c>
    </row>
    <row r="69" spans="1:8" ht="51" x14ac:dyDescent="0.25">
      <c r="A69" s="8"/>
      <c r="B69" s="6"/>
      <c r="C69" s="20" t="s">
        <v>114</v>
      </c>
      <c r="D69" s="20" t="s">
        <v>115</v>
      </c>
      <c r="E69" s="15">
        <f>0</f>
        <v>0</v>
      </c>
      <c r="F69" s="15">
        <f>0</f>
        <v>0</v>
      </c>
      <c r="G69" s="15" t="s">
        <v>18</v>
      </c>
      <c r="H69" s="15">
        <f>0</f>
        <v>0</v>
      </c>
    </row>
    <row r="70" spans="1:8" ht="51" x14ac:dyDescent="0.25">
      <c r="A70" s="8"/>
      <c r="B70" s="6"/>
      <c r="C70" s="20" t="s">
        <v>116</v>
      </c>
      <c r="D70" s="20" t="s">
        <v>117</v>
      </c>
      <c r="E70" s="15">
        <f>0</f>
        <v>0</v>
      </c>
      <c r="F70" s="15">
        <f>0</f>
        <v>0</v>
      </c>
      <c r="G70" s="15" t="s">
        <v>18</v>
      </c>
      <c r="H70" s="15">
        <f>0</f>
        <v>0</v>
      </c>
    </row>
    <row r="71" spans="1:8" ht="63.75" x14ac:dyDescent="0.25">
      <c r="A71" s="8"/>
      <c r="B71" s="6"/>
      <c r="C71" s="20" t="s">
        <v>118</v>
      </c>
      <c r="D71" s="20" t="s">
        <v>119</v>
      </c>
      <c r="E71" s="15">
        <f>3324.4</f>
        <v>3324.4</v>
      </c>
      <c r="F71" s="15">
        <f>3317.6</f>
        <v>3317.6</v>
      </c>
      <c r="G71" s="15" t="s">
        <v>527</v>
      </c>
      <c r="H71" s="15">
        <f>3317.6</f>
        <v>3317.6</v>
      </c>
    </row>
    <row r="72" spans="1:8" ht="38.25" x14ac:dyDescent="0.25">
      <c r="A72" s="8"/>
      <c r="B72" s="6"/>
      <c r="C72" s="20" t="s">
        <v>120</v>
      </c>
      <c r="D72" s="20" t="s">
        <v>121</v>
      </c>
      <c r="E72" s="15">
        <f>100</f>
        <v>100</v>
      </c>
      <c r="F72" s="15">
        <f>100</f>
        <v>100</v>
      </c>
      <c r="G72" s="15" t="s">
        <v>1202</v>
      </c>
      <c r="H72" s="15">
        <f>100</f>
        <v>100</v>
      </c>
    </row>
    <row r="73" spans="1:8" ht="51" x14ac:dyDescent="0.25">
      <c r="A73" s="8"/>
      <c r="B73" s="6"/>
      <c r="C73" s="20" t="s">
        <v>122</v>
      </c>
      <c r="D73" s="20" t="s">
        <v>123</v>
      </c>
      <c r="E73" s="15">
        <f>0</f>
        <v>0</v>
      </c>
      <c r="F73" s="15">
        <f>0</f>
        <v>0</v>
      </c>
      <c r="G73" s="15" t="s">
        <v>18</v>
      </c>
      <c r="H73" s="15">
        <f>0</f>
        <v>0</v>
      </c>
    </row>
    <row r="74" spans="1:8" ht="63.75" x14ac:dyDescent="0.25">
      <c r="A74" s="8"/>
      <c r="B74" s="6"/>
      <c r="C74" s="20" t="s">
        <v>124</v>
      </c>
      <c r="D74" s="20" t="s">
        <v>125</v>
      </c>
      <c r="E74" s="15">
        <f>1955</f>
        <v>1955</v>
      </c>
      <c r="F74" s="15">
        <f>1955</f>
        <v>1955</v>
      </c>
      <c r="G74" s="15" t="s">
        <v>1198</v>
      </c>
      <c r="H74" s="15">
        <f>1955</f>
        <v>1955</v>
      </c>
    </row>
    <row r="75" spans="1:8" ht="25.5" x14ac:dyDescent="0.25">
      <c r="A75" s="8"/>
      <c r="B75" s="6"/>
      <c r="C75" s="20" t="s">
        <v>126</v>
      </c>
      <c r="D75" s="20" t="s">
        <v>127</v>
      </c>
      <c r="E75" s="15">
        <f>40</f>
        <v>40</v>
      </c>
      <c r="F75" s="15">
        <f>37.4</f>
        <v>37.4</v>
      </c>
      <c r="G75" s="15" t="s">
        <v>1203</v>
      </c>
      <c r="H75" s="15">
        <f>37.4</f>
        <v>37.4</v>
      </c>
    </row>
    <row r="76" spans="1:8" ht="38.25" x14ac:dyDescent="0.25">
      <c r="A76" s="8"/>
      <c r="B76" s="6"/>
      <c r="C76" s="20" t="s">
        <v>128</v>
      </c>
      <c r="D76" s="20" t="s">
        <v>129</v>
      </c>
      <c r="E76" s="15">
        <f>1282.2</f>
        <v>1282.2</v>
      </c>
      <c r="F76" s="15">
        <f>1282.2</f>
        <v>1282.2</v>
      </c>
      <c r="G76" s="15" t="s">
        <v>1198</v>
      </c>
      <c r="H76" s="15">
        <f>1282.2</f>
        <v>1282.2</v>
      </c>
    </row>
    <row r="77" spans="1:8" ht="102" x14ac:dyDescent="0.25">
      <c r="A77" s="8"/>
      <c r="B77" s="6"/>
      <c r="C77" s="20" t="s">
        <v>130</v>
      </c>
      <c r="D77" s="20" t="s">
        <v>1217</v>
      </c>
      <c r="E77" s="15">
        <f>1880.8</f>
        <v>1880.8</v>
      </c>
      <c r="F77" s="15">
        <f>1880.8</f>
        <v>1880.8</v>
      </c>
      <c r="G77" s="15" t="s">
        <v>1198</v>
      </c>
      <c r="H77" s="15">
        <f>1880.8</f>
        <v>1880.8</v>
      </c>
    </row>
    <row r="78" spans="1:8" ht="25.5" x14ac:dyDescent="0.25">
      <c r="A78" s="8"/>
      <c r="B78" s="6"/>
      <c r="C78" s="20" t="s">
        <v>131</v>
      </c>
      <c r="D78" s="20" t="s">
        <v>132</v>
      </c>
      <c r="E78" s="15">
        <f>43</f>
        <v>43</v>
      </c>
      <c r="F78" s="15">
        <f>42.3</f>
        <v>42.3</v>
      </c>
      <c r="G78" s="15" t="s">
        <v>1204</v>
      </c>
      <c r="H78" s="15">
        <f>42.3</f>
        <v>42.3</v>
      </c>
    </row>
    <row r="79" spans="1:8" ht="63.75" x14ac:dyDescent="0.25">
      <c r="A79" s="8"/>
      <c r="B79" s="6"/>
      <c r="C79" s="20" t="s">
        <v>133</v>
      </c>
      <c r="D79" s="20" t="s">
        <v>134</v>
      </c>
      <c r="E79" s="15">
        <f>120</f>
        <v>120</v>
      </c>
      <c r="F79" s="15">
        <f>119.9</f>
        <v>119.9</v>
      </c>
      <c r="G79" s="15" t="s">
        <v>1198</v>
      </c>
      <c r="H79" s="15">
        <f>119.9</f>
        <v>119.9</v>
      </c>
    </row>
    <row r="80" spans="1:8" ht="63.75" x14ac:dyDescent="0.25">
      <c r="A80" s="8"/>
      <c r="B80" s="6"/>
      <c r="C80" s="20" t="s">
        <v>135</v>
      </c>
      <c r="D80" s="20" t="s">
        <v>136</v>
      </c>
      <c r="E80" s="15">
        <f>400</f>
        <v>400</v>
      </c>
      <c r="F80" s="15">
        <f>400</f>
        <v>400</v>
      </c>
      <c r="G80" s="15" t="s">
        <v>1198</v>
      </c>
      <c r="H80" s="15">
        <f>400</f>
        <v>400</v>
      </c>
    </row>
    <row r="81" spans="1:8" ht="63.75" x14ac:dyDescent="0.25">
      <c r="A81" s="8"/>
      <c r="B81" s="6"/>
      <c r="C81" s="19" t="s">
        <v>23</v>
      </c>
      <c r="D81" s="23" t="s">
        <v>137</v>
      </c>
      <c r="E81" s="14">
        <f>E82+E83+E84+E85+E86+E90+E95+E96+E97+E98+E99+E100+E101+E102</f>
        <v>77664.200000000012</v>
      </c>
      <c r="F81" s="14">
        <f>F82+F83+F84+F85+F86+F90+F95+F96+F97+F98+F99+F100+F101+F102</f>
        <v>77664.200000000012</v>
      </c>
      <c r="G81" s="24" t="s">
        <v>1198</v>
      </c>
      <c r="H81" s="14">
        <f>H82+H83+H84+H85+H86+H90+H95+H96+H97+H98+H99+H100+H101+H102</f>
        <v>77664.200000000012</v>
      </c>
    </row>
    <row r="82" spans="1:8" ht="38.25" x14ac:dyDescent="0.25">
      <c r="A82" s="8"/>
      <c r="B82" s="6"/>
      <c r="C82" s="20" t="s">
        <v>26</v>
      </c>
      <c r="D82" s="20" t="s">
        <v>138</v>
      </c>
      <c r="E82" s="15">
        <f>595.95</f>
        <v>595.95000000000005</v>
      </c>
      <c r="F82" s="15">
        <f>595.95</f>
        <v>595.95000000000005</v>
      </c>
      <c r="G82" s="15" t="s">
        <v>1198</v>
      </c>
      <c r="H82" s="15">
        <f>595.95</f>
        <v>595.95000000000005</v>
      </c>
    </row>
    <row r="83" spans="1:8" ht="38.25" x14ac:dyDescent="0.25">
      <c r="A83" s="8"/>
      <c r="B83" s="6"/>
      <c r="C83" s="20" t="s">
        <v>28</v>
      </c>
      <c r="D83" s="20" t="s">
        <v>139</v>
      </c>
      <c r="E83" s="15">
        <f>4166.56</f>
        <v>4166.5600000000004</v>
      </c>
      <c r="F83" s="15">
        <f>4166.56</f>
        <v>4166.5600000000004</v>
      </c>
      <c r="G83" s="15" t="s">
        <v>1198</v>
      </c>
      <c r="H83" s="15">
        <f>4166.56</f>
        <v>4166.5600000000004</v>
      </c>
    </row>
    <row r="84" spans="1:8" ht="38.25" x14ac:dyDescent="0.25">
      <c r="A84" s="8"/>
      <c r="B84" s="6"/>
      <c r="C84" s="20" t="s">
        <v>30</v>
      </c>
      <c r="D84" s="20" t="s">
        <v>140</v>
      </c>
      <c r="E84" s="15">
        <f>50000</f>
        <v>50000</v>
      </c>
      <c r="F84" s="15">
        <f>50000</f>
        <v>50000</v>
      </c>
      <c r="G84" s="15" t="s">
        <v>1198</v>
      </c>
      <c r="H84" s="15">
        <f>50000</f>
        <v>50000</v>
      </c>
    </row>
    <row r="85" spans="1:8" ht="38.25" x14ac:dyDescent="0.25">
      <c r="A85" s="8"/>
      <c r="B85" s="6"/>
      <c r="C85" s="20" t="s">
        <v>87</v>
      </c>
      <c r="D85" s="20" t="s">
        <v>141</v>
      </c>
      <c r="E85" s="15">
        <f>7200</f>
        <v>7200</v>
      </c>
      <c r="F85" s="15">
        <f>7200</f>
        <v>7200</v>
      </c>
      <c r="G85" s="15" t="s">
        <v>1198</v>
      </c>
      <c r="H85" s="15">
        <f>7200</f>
        <v>7200</v>
      </c>
    </row>
    <row r="86" spans="1:8" ht="51" x14ac:dyDescent="0.25">
      <c r="A86" s="8"/>
      <c r="B86" s="6"/>
      <c r="C86" s="20" t="s">
        <v>89</v>
      </c>
      <c r="D86" s="20" t="s">
        <v>142</v>
      </c>
      <c r="E86" s="15">
        <f>E87+E88+E89</f>
        <v>0</v>
      </c>
      <c r="F86" s="15">
        <f>F87+F88+F89</f>
        <v>0</v>
      </c>
      <c r="G86" s="15" t="s">
        <v>18</v>
      </c>
      <c r="H86" s="15">
        <f>H87+H88+H89</f>
        <v>0</v>
      </c>
    </row>
    <row r="87" spans="1:8" ht="51" x14ac:dyDescent="0.25">
      <c r="A87" s="8"/>
      <c r="B87" s="6"/>
      <c r="C87" s="21" t="s">
        <v>143</v>
      </c>
      <c r="D87" s="20" t="s">
        <v>144</v>
      </c>
      <c r="E87" s="15">
        <f>0</f>
        <v>0</v>
      </c>
      <c r="F87" s="15">
        <f>0</f>
        <v>0</v>
      </c>
      <c r="G87" s="15" t="s">
        <v>18</v>
      </c>
      <c r="H87" s="15">
        <f>0</f>
        <v>0</v>
      </c>
    </row>
    <row r="88" spans="1:8" ht="51" x14ac:dyDescent="0.25">
      <c r="A88" s="8"/>
      <c r="B88" s="6"/>
      <c r="C88" s="21" t="s">
        <v>145</v>
      </c>
      <c r="D88" s="20" t="s">
        <v>146</v>
      </c>
      <c r="E88" s="15">
        <f>0</f>
        <v>0</v>
      </c>
      <c r="F88" s="15">
        <f>0</f>
        <v>0</v>
      </c>
      <c r="G88" s="15" t="s">
        <v>18</v>
      </c>
      <c r="H88" s="15">
        <f>0</f>
        <v>0</v>
      </c>
    </row>
    <row r="89" spans="1:8" ht="51" x14ac:dyDescent="0.25">
      <c r="A89" s="8"/>
      <c r="B89" s="6"/>
      <c r="C89" s="21" t="s">
        <v>147</v>
      </c>
      <c r="D89" s="20" t="s">
        <v>148</v>
      </c>
      <c r="E89" s="15">
        <f>0</f>
        <v>0</v>
      </c>
      <c r="F89" s="15">
        <f>0</f>
        <v>0</v>
      </c>
      <c r="G89" s="15" t="s">
        <v>18</v>
      </c>
      <c r="H89" s="15">
        <f>0</f>
        <v>0</v>
      </c>
    </row>
    <row r="90" spans="1:8" ht="51" x14ac:dyDescent="0.25">
      <c r="A90" s="8"/>
      <c r="B90" s="6"/>
      <c r="C90" s="20" t="s">
        <v>98</v>
      </c>
      <c r="D90" s="20" t="s">
        <v>149</v>
      </c>
      <c r="E90" s="15">
        <f>E91+E92+E93+E94</f>
        <v>0</v>
      </c>
      <c r="F90" s="15">
        <f>F91+F92+F93+F94</f>
        <v>0</v>
      </c>
      <c r="G90" s="15" t="s">
        <v>18</v>
      </c>
      <c r="H90" s="15">
        <f>H91+H92+H93+H94</f>
        <v>0</v>
      </c>
    </row>
    <row r="91" spans="1:8" ht="51" x14ac:dyDescent="0.25">
      <c r="A91" s="8"/>
      <c r="B91" s="6"/>
      <c r="C91" s="21" t="s">
        <v>150</v>
      </c>
      <c r="D91" s="20" t="s">
        <v>151</v>
      </c>
      <c r="E91" s="15">
        <f>0</f>
        <v>0</v>
      </c>
      <c r="F91" s="15">
        <f>0</f>
        <v>0</v>
      </c>
      <c r="G91" s="15" t="s">
        <v>18</v>
      </c>
      <c r="H91" s="15">
        <f>0</f>
        <v>0</v>
      </c>
    </row>
    <row r="92" spans="1:8" ht="51" x14ac:dyDescent="0.25">
      <c r="A92" s="8"/>
      <c r="B92" s="6"/>
      <c r="C92" s="21" t="s">
        <v>152</v>
      </c>
      <c r="D92" s="20" t="s">
        <v>153</v>
      </c>
      <c r="E92" s="15">
        <f>0</f>
        <v>0</v>
      </c>
      <c r="F92" s="15">
        <f>0</f>
        <v>0</v>
      </c>
      <c r="G92" s="15" t="s">
        <v>18</v>
      </c>
      <c r="H92" s="15">
        <f>0</f>
        <v>0</v>
      </c>
    </row>
    <row r="93" spans="1:8" ht="51" x14ac:dyDescent="0.25">
      <c r="A93" s="8"/>
      <c r="B93" s="6"/>
      <c r="C93" s="21" t="s">
        <v>154</v>
      </c>
      <c r="D93" s="20" t="s">
        <v>155</v>
      </c>
      <c r="E93" s="15">
        <f>0</f>
        <v>0</v>
      </c>
      <c r="F93" s="15">
        <f>0</f>
        <v>0</v>
      </c>
      <c r="G93" s="15" t="s">
        <v>18</v>
      </c>
      <c r="H93" s="15">
        <f>0</f>
        <v>0</v>
      </c>
    </row>
    <row r="94" spans="1:8" ht="51" x14ac:dyDescent="0.25">
      <c r="A94" s="8"/>
      <c r="B94" s="6"/>
      <c r="C94" s="21" t="s">
        <v>156</v>
      </c>
      <c r="D94" s="20" t="s">
        <v>157</v>
      </c>
      <c r="E94" s="15">
        <f>0</f>
        <v>0</v>
      </c>
      <c r="F94" s="15">
        <f>0</f>
        <v>0</v>
      </c>
      <c r="G94" s="15" t="s">
        <v>18</v>
      </c>
      <c r="H94" s="15">
        <f>0</f>
        <v>0</v>
      </c>
    </row>
    <row r="95" spans="1:8" ht="51" x14ac:dyDescent="0.25">
      <c r="A95" s="8"/>
      <c r="B95" s="6"/>
      <c r="C95" s="20" t="s">
        <v>100</v>
      </c>
      <c r="D95" s="20" t="s">
        <v>158</v>
      </c>
      <c r="E95" s="15">
        <f>0</f>
        <v>0</v>
      </c>
      <c r="F95" s="15">
        <f>0</f>
        <v>0</v>
      </c>
      <c r="G95" s="15" t="s">
        <v>18</v>
      </c>
      <c r="H95" s="15">
        <f>0</f>
        <v>0</v>
      </c>
    </row>
    <row r="96" spans="1:8" ht="51" x14ac:dyDescent="0.25">
      <c r="A96" s="8"/>
      <c r="B96" s="6"/>
      <c r="C96" s="20" t="s">
        <v>102</v>
      </c>
      <c r="D96" s="20" t="s">
        <v>159</v>
      </c>
      <c r="E96" s="15">
        <f>0</f>
        <v>0</v>
      </c>
      <c r="F96" s="15">
        <f>0</f>
        <v>0</v>
      </c>
      <c r="G96" s="15" t="s">
        <v>18</v>
      </c>
      <c r="H96" s="15">
        <f>0</f>
        <v>0</v>
      </c>
    </row>
    <row r="97" spans="1:8" ht="63.75" x14ac:dyDescent="0.25">
      <c r="A97" s="8"/>
      <c r="B97" s="6"/>
      <c r="C97" s="20" t="s">
        <v>104</v>
      </c>
      <c r="D97" s="20" t="s">
        <v>160</v>
      </c>
      <c r="E97" s="15">
        <f>199.19</f>
        <v>199.19</v>
      </c>
      <c r="F97" s="15">
        <f>199.19</f>
        <v>199.19</v>
      </c>
      <c r="G97" s="15" t="s">
        <v>1205</v>
      </c>
      <c r="H97" s="15">
        <f>199.19</f>
        <v>199.19</v>
      </c>
    </row>
    <row r="98" spans="1:8" ht="76.5" x14ac:dyDescent="0.25">
      <c r="A98" s="8"/>
      <c r="B98" s="6"/>
      <c r="C98" s="20" t="s">
        <v>106</v>
      </c>
      <c r="D98" s="20" t="s">
        <v>161</v>
      </c>
      <c r="E98" s="15">
        <f>0</f>
        <v>0</v>
      </c>
      <c r="F98" s="15">
        <f>0</f>
        <v>0</v>
      </c>
      <c r="G98" s="15" t="s">
        <v>18</v>
      </c>
      <c r="H98" s="15">
        <f>0</f>
        <v>0</v>
      </c>
    </row>
    <row r="99" spans="1:8" ht="38.25" x14ac:dyDescent="0.25">
      <c r="A99" s="8"/>
      <c r="B99" s="6"/>
      <c r="C99" s="20" t="s">
        <v>81</v>
      </c>
      <c r="D99" s="20" t="s">
        <v>162</v>
      </c>
      <c r="E99" s="15">
        <f>3237.3+11612.7</f>
        <v>14850</v>
      </c>
      <c r="F99" s="15">
        <f>3237.3+11612.7</f>
        <v>14850</v>
      </c>
      <c r="G99" s="15" t="s">
        <v>1205</v>
      </c>
      <c r="H99" s="15">
        <f>3237.3+11612.7</f>
        <v>14850</v>
      </c>
    </row>
    <row r="100" spans="1:8" ht="63.75" x14ac:dyDescent="0.25">
      <c r="A100" s="8"/>
      <c r="B100" s="6"/>
      <c r="C100" s="20" t="s">
        <v>163</v>
      </c>
      <c r="D100" s="20" t="s">
        <v>164</v>
      </c>
      <c r="E100" s="15">
        <f>510</f>
        <v>510</v>
      </c>
      <c r="F100" s="15">
        <f>510</f>
        <v>510</v>
      </c>
      <c r="G100" s="15" t="s">
        <v>1205</v>
      </c>
      <c r="H100" s="15">
        <f>510</f>
        <v>510</v>
      </c>
    </row>
    <row r="101" spans="1:8" ht="63.75" x14ac:dyDescent="0.25">
      <c r="A101" s="8"/>
      <c r="B101" s="6"/>
      <c r="C101" s="20" t="s">
        <v>165</v>
      </c>
      <c r="D101" s="20" t="s">
        <v>166</v>
      </c>
      <c r="E101" s="15">
        <f>0</f>
        <v>0</v>
      </c>
      <c r="F101" s="15">
        <f>0</f>
        <v>0</v>
      </c>
      <c r="G101" s="15" t="s">
        <v>18</v>
      </c>
      <c r="H101" s="15">
        <f>0</f>
        <v>0</v>
      </c>
    </row>
    <row r="102" spans="1:8" ht="51" x14ac:dyDescent="0.25">
      <c r="A102" s="8"/>
      <c r="B102" s="6"/>
      <c r="C102" s="20" t="s">
        <v>167</v>
      </c>
      <c r="D102" s="20" t="s">
        <v>168</v>
      </c>
      <c r="E102" s="15">
        <f>142.5</f>
        <v>142.5</v>
      </c>
      <c r="F102" s="15">
        <f>142.5</f>
        <v>142.5</v>
      </c>
      <c r="G102" s="15" t="s">
        <v>1205</v>
      </c>
      <c r="H102" s="15">
        <f>142.5</f>
        <v>142.5</v>
      </c>
    </row>
    <row r="103" spans="1:8" ht="51" x14ac:dyDescent="0.25">
      <c r="A103" s="8"/>
      <c r="B103" s="6"/>
      <c r="C103" s="19" t="s">
        <v>63</v>
      </c>
      <c r="D103" s="19" t="s">
        <v>169</v>
      </c>
      <c r="E103" s="14">
        <f>E104+E105+E106+E109+E110</f>
        <v>56021.88</v>
      </c>
      <c r="F103" s="14">
        <f>F104+F105+F106+F109+F110</f>
        <v>55978.31</v>
      </c>
      <c r="G103" s="14" t="s">
        <v>1205</v>
      </c>
      <c r="H103" s="14">
        <f>H104+H105+H106+H109+H110</f>
        <v>55978.31</v>
      </c>
    </row>
    <row r="104" spans="1:8" ht="38.25" x14ac:dyDescent="0.25">
      <c r="A104" s="8"/>
      <c r="B104" s="6"/>
      <c r="C104" s="20" t="s">
        <v>26</v>
      </c>
      <c r="D104" s="20" t="s">
        <v>170</v>
      </c>
      <c r="E104" s="15">
        <f>5046.58</f>
        <v>5046.58</v>
      </c>
      <c r="F104" s="15">
        <f>5003.01</f>
        <v>5003.01</v>
      </c>
      <c r="G104" s="15" t="s">
        <v>1206</v>
      </c>
      <c r="H104" s="15">
        <f>5003.01</f>
        <v>5003.01</v>
      </c>
    </row>
    <row r="105" spans="1:8" ht="38.25" x14ac:dyDescent="0.25">
      <c r="A105" s="8"/>
      <c r="B105" s="6"/>
      <c r="C105" s="20" t="s">
        <v>28</v>
      </c>
      <c r="D105" s="20" t="s">
        <v>171</v>
      </c>
      <c r="E105" s="15">
        <f>16970.7+8300</f>
        <v>25270.7</v>
      </c>
      <c r="F105" s="15">
        <f>16970.7+8300</f>
        <v>25270.7</v>
      </c>
      <c r="G105" s="15" t="s">
        <v>1198</v>
      </c>
      <c r="H105" s="15">
        <f>16970.7+8300</f>
        <v>25270.7</v>
      </c>
    </row>
    <row r="106" spans="1:8" ht="38.25" x14ac:dyDescent="0.25">
      <c r="A106" s="8"/>
      <c r="B106" s="6"/>
      <c r="C106" s="20" t="s">
        <v>30</v>
      </c>
      <c r="D106" s="20" t="s">
        <v>172</v>
      </c>
      <c r="E106" s="15">
        <f>E107+E108</f>
        <v>10451</v>
      </c>
      <c r="F106" s="15">
        <f>F107+F108</f>
        <v>10451</v>
      </c>
      <c r="G106" s="15" t="s">
        <v>1198</v>
      </c>
      <c r="H106" s="15">
        <f>H107+H108</f>
        <v>10451</v>
      </c>
    </row>
    <row r="107" spans="1:8" ht="51" x14ac:dyDescent="0.25">
      <c r="A107" s="8"/>
      <c r="B107" s="6"/>
      <c r="C107" s="21" t="s">
        <v>173</v>
      </c>
      <c r="D107" s="20" t="s">
        <v>174</v>
      </c>
      <c r="E107" s="15">
        <f>0</f>
        <v>0</v>
      </c>
      <c r="F107" s="15">
        <v>0</v>
      </c>
      <c r="G107" s="15" t="s">
        <v>18</v>
      </c>
      <c r="H107" s="15">
        <v>0</v>
      </c>
    </row>
    <row r="108" spans="1:8" ht="51" x14ac:dyDescent="0.25">
      <c r="A108" s="8"/>
      <c r="B108" s="6"/>
      <c r="C108" s="21" t="s">
        <v>175</v>
      </c>
      <c r="D108" s="20" t="s">
        <v>176</v>
      </c>
      <c r="E108" s="15">
        <f>10451</f>
        <v>10451</v>
      </c>
      <c r="F108" s="15">
        <f>10451</f>
        <v>10451</v>
      </c>
      <c r="G108" s="15" t="s">
        <v>1198</v>
      </c>
      <c r="H108" s="15">
        <f>10451</f>
        <v>10451</v>
      </c>
    </row>
    <row r="109" spans="1:8" ht="51" x14ac:dyDescent="0.25">
      <c r="A109" s="8"/>
      <c r="B109" s="6"/>
      <c r="C109" s="20" t="s">
        <v>87</v>
      </c>
      <c r="D109" s="20" t="s">
        <v>177</v>
      </c>
      <c r="E109" s="15">
        <f>12116.9+3000</f>
        <v>15116.9</v>
      </c>
      <c r="F109" s="15">
        <f>12116.9+3000</f>
        <v>15116.9</v>
      </c>
      <c r="G109" s="15" t="s">
        <v>1198</v>
      </c>
      <c r="H109" s="15">
        <f>12116.9+3000</f>
        <v>15116.9</v>
      </c>
    </row>
    <row r="110" spans="1:8" ht="51" x14ac:dyDescent="0.25">
      <c r="A110" s="8"/>
      <c r="B110" s="6"/>
      <c r="C110" s="20" t="s">
        <v>21</v>
      </c>
      <c r="D110" s="20" t="s">
        <v>178</v>
      </c>
      <c r="E110" s="15">
        <f>136.7</f>
        <v>136.69999999999999</v>
      </c>
      <c r="F110" s="15">
        <f>136.7</f>
        <v>136.69999999999999</v>
      </c>
      <c r="G110" s="15" t="s">
        <v>1198</v>
      </c>
      <c r="H110" s="15">
        <f>136.7</f>
        <v>136.69999999999999</v>
      </c>
    </row>
    <row r="111" spans="1:8" ht="38.25" x14ac:dyDescent="0.25">
      <c r="A111" s="8"/>
      <c r="B111" s="6"/>
      <c r="C111" s="19" t="s">
        <v>82</v>
      </c>
      <c r="D111" s="19" t="s">
        <v>179</v>
      </c>
      <c r="E111" s="14">
        <f>E112+E113+E114+E115+E118+E122+E126</f>
        <v>16379.14</v>
      </c>
      <c r="F111" s="14">
        <f>F112+F113+F114+F115+F118+F122+F126</f>
        <v>16379.119999999999</v>
      </c>
      <c r="G111" s="14" t="s">
        <v>1198</v>
      </c>
      <c r="H111" s="14">
        <f>H112+H113+H114+H115+H118+H122+H126</f>
        <v>16379.119999999999</v>
      </c>
    </row>
    <row r="112" spans="1:8" ht="51" x14ac:dyDescent="0.25">
      <c r="A112" s="8"/>
      <c r="B112" s="6"/>
      <c r="C112" s="20" t="s">
        <v>26</v>
      </c>
      <c r="D112" s="20" t="s">
        <v>180</v>
      </c>
      <c r="E112" s="15">
        <f>14476.8+920</f>
        <v>15396.8</v>
      </c>
      <c r="F112" s="15">
        <f>14476.8+920</f>
        <v>15396.8</v>
      </c>
      <c r="G112" s="15" t="s">
        <v>1198</v>
      </c>
      <c r="H112" s="15">
        <f>14476.8+920</f>
        <v>15396.8</v>
      </c>
    </row>
    <row r="113" spans="1:8" ht="38.25" x14ac:dyDescent="0.25">
      <c r="A113" s="8"/>
      <c r="B113" s="6"/>
      <c r="C113" s="20" t="s">
        <v>28</v>
      </c>
      <c r="D113" s="20" t="s">
        <v>181</v>
      </c>
      <c r="E113" s="15">
        <f>194.32</f>
        <v>194.32</v>
      </c>
      <c r="F113" s="15">
        <f>194.3</f>
        <v>194.3</v>
      </c>
      <c r="G113" s="15" t="s">
        <v>1198</v>
      </c>
      <c r="H113" s="15">
        <f>194.3</f>
        <v>194.3</v>
      </c>
    </row>
    <row r="114" spans="1:8" ht="76.5" x14ac:dyDescent="0.25">
      <c r="A114" s="8"/>
      <c r="B114" s="6"/>
      <c r="C114" s="20" t="s">
        <v>30</v>
      </c>
      <c r="D114" s="20" t="s">
        <v>182</v>
      </c>
      <c r="E114" s="15">
        <f>0</f>
        <v>0</v>
      </c>
      <c r="F114" s="15">
        <f>0</f>
        <v>0</v>
      </c>
      <c r="G114" s="15" t="s">
        <v>18</v>
      </c>
      <c r="H114" s="15">
        <f>0</f>
        <v>0</v>
      </c>
    </row>
    <row r="115" spans="1:8" ht="51" x14ac:dyDescent="0.25">
      <c r="A115" s="8"/>
      <c r="B115" s="6"/>
      <c r="C115" s="20" t="s">
        <v>33</v>
      </c>
      <c r="D115" s="20" t="s">
        <v>183</v>
      </c>
      <c r="E115" s="15">
        <f>E116+E117</f>
        <v>237.93</v>
      </c>
      <c r="F115" s="15">
        <f>F116+F117</f>
        <v>237.93</v>
      </c>
      <c r="G115" s="15" t="s">
        <v>1198</v>
      </c>
      <c r="H115" s="15">
        <f>H116+H117</f>
        <v>237.93</v>
      </c>
    </row>
    <row r="116" spans="1:8" ht="63.75" x14ac:dyDescent="0.25">
      <c r="A116" s="8"/>
      <c r="B116" s="6"/>
      <c r="C116" s="21" t="s">
        <v>184</v>
      </c>
      <c r="D116" s="20" t="s">
        <v>185</v>
      </c>
      <c r="E116" s="15">
        <f>88.94</f>
        <v>88.94</v>
      </c>
      <c r="F116" s="15">
        <f>88.94</f>
        <v>88.94</v>
      </c>
      <c r="G116" s="15" t="s">
        <v>1198</v>
      </c>
      <c r="H116" s="15">
        <f>88.94</f>
        <v>88.94</v>
      </c>
    </row>
    <row r="117" spans="1:8" ht="38.25" x14ac:dyDescent="0.25">
      <c r="A117" s="8"/>
      <c r="B117" s="6"/>
      <c r="C117" s="21" t="s">
        <v>186</v>
      </c>
      <c r="D117" s="20" t="s">
        <v>187</v>
      </c>
      <c r="E117" s="15">
        <f>148.99</f>
        <v>148.99</v>
      </c>
      <c r="F117" s="15">
        <f>148.99</f>
        <v>148.99</v>
      </c>
      <c r="G117" s="15" t="s">
        <v>1198</v>
      </c>
      <c r="H117" s="15">
        <f>148.99</f>
        <v>148.99</v>
      </c>
    </row>
    <row r="118" spans="1:8" ht="51" x14ac:dyDescent="0.25">
      <c r="A118" s="8"/>
      <c r="B118" s="6"/>
      <c r="C118" s="20" t="s">
        <v>38</v>
      </c>
      <c r="D118" s="20" t="s">
        <v>188</v>
      </c>
      <c r="E118" s="15">
        <f>E119+E120+E121</f>
        <v>235.09000000000003</v>
      </c>
      <c r="F118" s="15">
        <f>F119+F120+F121</f>
        <v>235.09000000000003</v>
      </c>
      <c r="G118" s="15" t="s">
        <v>1198</v>
      </c>
      <c r="H118" s="15">
        <f>H119+H120+H121</f>
        <v>235.09000000000003</v>
      </c>
    </row>
    <row r="119" spans="1:8" ht="51" x14ac:dyDescent="0.25">
      <c r="A119" s="8"/>
      <c r="B119" s="6"/>
      <c r="C119" s="21" t="s">
        <v>189</v>
      </c>
      <c r="D119" s="20" t="s">
        <v>190</v>
      </c>
      <c r="E119" s="15">
        <f>73.67</f>
        <v>73.67</v>
      </c>
      <c r="F119" s="15">
        <f>73.67</f>
        <v>73.67</v>
      </c>
      <c r="G119" s="15" t="s">
        <v>1198</v>
      </c>
      <c r="H119" s="15">
        <f>73.67</f>
        <v>73.67</v>
      </c>
    </row>
    <row r="120" spans="1:8" ht="38.25" x14ac:dyDescent="0.25">
      <c r="A120" s="8"/>
      <c r="B120" s="6"/>
      <c r="C120" s="21" t="s">
        <v>191</v>
      </c>
      <c r="D120" s="20" t="s">
        <v>192</v>
      </c>
      <c r="E120" s="15">
        <f>135.37</f>
        <v>135.37</v>
      </c>
      <c r="F120" s="15">
        <f>135.37</f>
        <v>135.37</v>
      </c>
      <c r="G120" s="15" t="s">
        <v>1198</v>
      </c>
      <c r="H120" s="15">
        <f>135.37</f>
        <v>135.37</v>
      </c>
    </row>
    <row r="121" spans="1:8" ht="38.25" x14ac:dyDescent="0.25">
      <c r="A121" s="8"/>
      <c r="B121" s="6"/>
      <c r="C121" s="21" t="s">
        <v>193</v>
      </c>
      <c r="D121" s="20" t="s">
        <v>194</v>
      </c>
      <c r="E121" s="15">
        <f>26.05</f>
        <v>26.05</v>
      </c>
      <c r="F121" s="15">
        <f>26.05</f>
        <v>26.05</v>
      </c>
      <c r="G121" s="15" t="s">
        <v>1198</v>
      </c>
      <c r="H121" s="15">
        <f>26.05</f>
        <v>26.05</v>
      </c>
    </row>
    <row r="122" spans="1:8" ht="51" x14ac:dyDescent="0.25">
      <c r="A122" s="8"/>
      <c r="B122" s="6"/>
      <c r="C122" s="20" t="s">
        <v>195</v>
      </c>
      <c r="D122" s="20" t="s">
        <v>196</v>
      </c>
      <c r="E122" s="15">
        <f>E123+E124+E125</f>
        <v>315</v>
      </c>
      <c r="F122" s="15">
        <f>F123+F124+F125</f>
        <v>315</v>
      </c>
      <c r="G122" s="15" t="s">
        <v>1198</v>
      </c>
      <c r="H122" s="15">
        <f>H123+H124+H125</f>
        <v>315</v>
      </c>
    </row>
    <row r="123" spans="1:8" ht="51" x14ac:dyDescent="0.25">
      <c r="A123" s="8"/>
      <c r="B123" s="6"/>
      <c r="C123" s="21" t="s">
        <v>197</v>
      </c>
      <c r="D123" s="20" t="s">
        <v>198</v>
      </c>
      <c r="E123" s="15">
        <f>0</f>
        <v>0</v>
      </c>
      <c r="F123" s="15">
        <f>0</f>
        <v>0</v>
      </c>
      <c r="G123" s="15" t="s">
        <v>18</v>
      </c>
      <c r="H123" s="15">
        <f>0</f>
        <v>0</v>
      </c>
    </row>
    <row r="124" spans="1:8" ht="38.25" x14ac:dyDescent="0.25">
      <c r="A124" s="8"/>
      <c r="B124" s="6"/>
      <c r="C124" s="21" t="s">
        <v>199</v>
      </c>
      <c r="D124" s="20" t="s">
        <v>200</v>
      </c>
      <c r="E124" s="15">
        <f>154</f>
        <v>154</v>
      </c>
      <c r="F124" s="15">
        <f>154</f>
        <v>154</v>
      </c>
      <c r="G124" s="15" t="s">
        <v>1198</v>
      </c>
      <c r="H124" s="15">
        <f>154</f>
        <v>154</v>
      </c>
    </row>
    <row r="125" spans="1:8" ht="114.75" x14ac:dyDescent="0.25">
      <c r="A125" s="8"/>
      <c r="B125" s="6"/>
      <c r="C125" s="21" t="s">
        <v>201</v>
      </c>
      <c r="D125" s="20" t="s">
        <v>202</v>
      </c>
      <c r="E125" s="15">
        <f>161</f>
        <v>161</v>
      </c>
      <c r="F125" s="15">
        <f>161</f>
        <v>161</v>
      </c>
      <c r="G125" s="15" t="s">
        <v>1198</v>
      </c>
      <c r="H125" s="15">
        <f>161</f>
        <v>161</v>
      </c>
    </row>
    <row r="126" spans="1:8" ht="63.75" x14ac:dyDescent="0.25">
      <c r="A126" s="8"/>
      <c r="B126" s="6"/>
      <c r="C126" s="20" t="s">
        <v>203</v>
      </c>
      <c r="D126" s="20" t="s">
        <v>204</v>
      </c>
      <c r="E126" s="15">
        <f>E127</f>
        <v>0</v>
      </c>
      <c r="F126" s="15">
        <f>F127</f>
        <v>0</v>
      </c>
      <c r="G126" s="15" t="s">
        <v>18</v>
      </c>
      <c r="H126" s="15">
        <f>H127</f>
        <v>0</v>
      </c>
    </row>
    <row r="127" spans="1:8" ht="76.5" x14ac:dyDescent="0.25">
      <c r="A127" s="8"/>
      <c r="B127" s="6"/>
      <c r="C127" s="21" t="s">
        <v>205</v>
      </c>
      <c r="D127" s="20" t="s">
        <v>206</v>
      </c>
      <c r="E127" s="15">
        <f>0</f>
        <v>0</v>
      </c>
      <c r="F127" s="15">
        <f>0</f>
        <v>0</v>
      </c>
      <c r="G127" s="15" t="s">
        <v>18</v>
      </c>
      <c r="H127" s="15">
        <f>0</f>
        <v>0</v>
      </c>
    </row>
    <row r="128" spans="1:8" ht="38.25" x14ac:dyDescent="0.25">
      <c r="A128" s="8"/>
      <c r="B128" s="6"/>
      <c r="C128" s="19" t="s">
        <v>207</v>
      </c>
      <c r="D128" s="19" t="s">
        <v>208</v>
      </c>
      <c r="E128" s="14">
        <f>E129+E130+E131+E132</f>
        <v>4233.01</v>
      </c>
      <c r="F128" s="14">
        <f>F129+F130+F131+F132</f>
        <v>4232.8599999999997</v>
      </c>
      <c r="G128" s="14" t="s">
        <v>1198</v>
      </c>
      <c r="H128" s="14">
        <f>H129+H130+H131+H132</f>
        <v>4232.8599999999997</v>
      </c>
    </row>
    <row r="129" spans="1:8" ht="51" x14ac:dyDescent="0.25">
      <c r="A129" s="8"/>
      <c r="B129" s="6"/>
      <c r="C129" s="20" t="s">
        <v>26</v>
      </c>
      <c r="D129" s="20" t="s">
        <v>209</v>
      </c>
      <c r="E129" s="15">
        <f>4233.01</f>
        <v>4233.01</v>
      </c>
      <c r="F129" s="15">
        <f>4232.86</f>
        <v>4232.8599999999997</v>
      </c>
      <c r="G129" s="15" t="s">
        <v>1198</v>
      </c>
      <c r="H129" s="15">
        <f>4232.86</f>
        <v>4232.8599999999997</v>
      </c>
    </row>
    <row r="130" spans="1:8" ht="51" x14ac:dyDescent="0.25">
      <c r="A130" s="8"/>
      <c r="B130" s="6"/>
      <c r="C130" s="20" t="s">
        <v>28</v>
      </c>
      <c r="D130" s="20" t="s">
        <v>210</v>
      </c>
      <c r="E130" s="15">
        <f>0</f>
        <v>0</v>
      </c>
      <c r="F130" s="15">
        <f>0</f>
        <v>0</v>
      </c>
      <c r="G130" s="15" t="s">
        <v>18</v>
      </c>
      <c r="H130" s="15">
        <f>0</f>
        <v>0</v>
      </c>
    </row>
    <row r="131" spans="1:8" ht="51" x14ac:dyDescent="0.25">
      <c r="A131" s="8"/>
      <c r="B131" s="6"/>
      <c r="C131" s="20" t="s">
        <v>30</v>
      </c>
      <c r="D131" s="20" t="s">
        <v>211</v>
      </c>
      <c r="E131" s="15">
        <f>0</f>
        <v>0</v>
      </c>
      <c r="F131" s="15">
        <f>0</f>
        <v>0</v>
      </c>
      <c r="G131" s="15" t="s">
        <v>18</v>
      </c>
      <c r="H131" s="15">
        <f>0</f>
        <v>0</v>
      </c>
    </row>
    <row r="132" spans="1:8" ht="63.75" x14ac:dyDescent="0.25">
      <c r="A132" s="8"/>
      <c r="B132" s="6"/>
      <c r="C132" s="20" t="s">
        <v>87</v>
      </c>
      <c r="D132" s="20" t="s">
        <v>212</v>
      </c>
      <c r="E132" s="15">
        <f>0</f>
        <v>0</v>
      </c>
      <c r="F132" s="15">
        <f>0</f>
        <v>0</v>
      </c>
      <c r="G132" s="15" t="s">
        <v>18</v>
      </c>
      <c r="H132" s="15">
        <f>0</f>
        <v>0</v>
      </c>
    </row>
    <row r="133" spans="1:8" ht="38.25" x14ac:dyDescent="0.25">
      <c r="A133" s="8"/>
      <c r="B133" s="6"/>
      <c r="C133" s="19" t="s">
        <v>213</v>
      </c>
      <c r="D133" s="19" t="s">
        <v>214</v>
      </c>
      <c r="E133" s="14">
        <f>E134</f>
        <v>44077.599999999999</v>
      </c>
      <c r="F133" s="14">
        <f>F134</f>
        <v>44077.58</v>
      </c>
      <c r="G133" s="14" t="s">
        <v>1198</v>
      </c>
      <c r="H133" s="14">
        <f>H134</f>
        <v>44077.58</v>
      </c>
    </row>
    <row r="134" spans="1:8" ht="63.75" x14ac:dyDescent="0.25">
      <c r="A134" s="8"/>
      <c r="B134" s="6"/>
      <c r="C134" s="20" t="s">
        <v>26</v>
      </c>
      <c r="D134" s="20" t="s">
        <v>215</v>
      </c>
      <c r="E134" s="15">
        <f>E135+E136+E137</f>
        <v>44077.599999999999</v>
      </c>
      <c r="F134" s="15">
        <f>F135+F136+F137</f>
        <v>44077.58</v>
      </c>
      <c r="G134" s="15" t="s">
        <v>1198</v>
      </c>
      <c r="H134" s="15">
        <f>H135+H136+H137</f>
        <v>44077.58</v>
      </c>
    </row>
    <row r="135" spans="1:8" ht="89.25" x14ac:dyDescent="0.25">
      <c r="A135" s="8"/>
      <c r="B135" s="6"/>
      <c r="C135" s="21" t="s">
        <v>216</v>
      </c>
      <c r="D135" s="20" t="s">
        <v>217</v>
      </c>
      <c r="E135" s="15">
        <f>41955</f>
        <v>41955</v>
      </c>
      <c r="F135" s="15">
        <f>41955</f>
        <v>41955</v>
      </c>
      <c r="G135" s="15" t="s">
        <v>1198</v>
      </c>
      <c r="H135" s="15">
        <f>41955</f>
        <v>41955</v>
      </c>
    </row>
    <row r="136" spans="1:8" ht="63.75" x14ac:dyDescent="0.25">
      <c r="A136" s="8"/>
      <c r="B136" s="6"/>
      <c r="C136" s="21" t="s">
        <v>218</v>
      </c>
      <c r="D136" s="20" t="s">
        <v>219</v>
      </c>
      <c r="E136" s="15">
        <f>1342.6</f>
        <v>1342.6</v>
      </c>
      <c r="F136" s="15">
        <f>1342.58</f>
        <v>1342.58</v>
      </c>
      <c r="G136" s="15" t="s">
        <v>1198</v>
      </c>
      <c r="H136" s="15">
        <f>1342.58</f>
        <v>1342.58</v>
      </c>
    </row>
    <row r="137" spans="1:8" ht="51" x14ac:dyDescent="0.25">
      <c r="A137" s="8"/>
      <c r="B137" s="6"/>
      <c r="C137" s="21" t="s">
        <v>220</v>
      </c>
      <c r="D137" s="20" t="s">
        <v>221</v>
      </c>
      <c r="E137" s="15">
        <f>780</f>
        <v>780</v>
      </c>
      <c r="F137" s="15">
        <f>780</f>
        <v>780</v>
      </c>
      <c r="G137" s="15" t="s">
        <v>1198</v>
      </c>
      <c r="H137" s="15">
        <f>780</f>
        <v>780</v>
      </c>
    </row>
    <row r="138" spans="1:8" ht="51" x14ac:dyDescent="0.25">
      <c r="A138" s="8"/>
      <c r="B138" s="6"/>
      <c r="C138" s="19" t="s">
        <v>222</v>
      </c>
      <c r="D138" s="19" t="s">
        <v>223</v>
      </c>
      <c r="E138" s="14">
        <f>E139+E140+E141+E142+E143</f>
        <v>10830.099999999999</v>
      </c>
      <c r="F138" s="14">
        <f>F139+F140+F141+F142+F143</f>
        <v>10830.099999999999</v>
      </c>
      <c r="G138" s="14" t="s">
        <v>1198</v>
      </c>
      <c r="H138" s="14">
        <f>H139+H140+H141+H142+H143</f>
        <v>10830.099999999999</v>
      </c>
    </row>
    <row r="139" spans="1:8" ht="38.25" x14ac:dyDescent="0.25">
      <c r="A139" s="8"/>
      <c r="B139" s="6"/>
      <c r="C139" s="20" t="s">
        <v>26</v>
      </c>
      <c r="D139" s="20" t="s">
        <v>224</v>
      </c>
      <c r="E139" s="15">
        <f>4961.4</f>
        <v>4961.3999999999996</v>
      </c>
      <c r="F139" s="15">
        <f>4961.4</f>
        <v>4961.3999999999996</v>
      </c>
      <c r="G139" s="15" t="s">
        <v>1198</v>
      </c>
      <c r="H139" s="15">
        <f>4961.4</f>
        <v>4961.3999999999996</v>
      </c>
    </row>
    <row r="140" spans="1:8" ht="38.25" x14ac:dyDescent="0.25">
      <c r="A140" s="8"/>
      <c r="B140" s="6"/>
      <c r="C140" s="20" t="s">
        <v>28</v>
      </c>
      <c r="D140" s="20" t="s">
        <v>225</v>
      </c>
      <c r="E140" s="15">
        <f>1428.9</f>
        <v>1428.9</v>
      </c>
      <c r="F140" s="15">
        <f>1428.9</f>
        <v>1428.9</v>
      </c>
      <c r="G140" s="15" t="s">
        <v>1198</v>
      </c>
      <c r="H140" s="15">
        <f>1428.9</f>
        <v>1428.9</v>
      </c>
    </row>
    <row r="141" spans="1:8" ht="38.25" x14ac:dyDescent="0.25">
      <c r="A141" s="8"/>
      <c r="B141" s="6"/>
      <c r="C141" s="20" t="s">
        <v>30</v>
      </c>
      <c r="D141" s="20" t="s">
        <v>226</v>
      </c>
      <c r="E141" s="15">
        <f>362.1</f>
        <v>362.1</v>
      </c>
      <c r="F141" s="15">
        <f>362.1</f>
        <v>362.1</v>
      </c>
      <c r="G141" s="15" t="s">
        <v>1198</v>
      </c>
      <c r="H141" s="15">
        <f>362.1</f>
        <v>362.1</v>
      </c>
    </row>
    <row r="142" spans="1:8" ht="38.25" x14ac:dyDescent="0.25">
      <c r="A142" s="8"/>
      <c r="B142" s="6"/>
      <c r="C142" s="20" t="s">
        <v>87</v>
      </c>
      <c r="D142" s="20" t="s">
        <v>227</v>
      </c>
      <c r="E142" s="15">
        <f>1409.9</f>
        <v>1409.9</v>
      </c>
      <c r="F142" s="15">
        <f>1409.9</f>
        <v>1409.9</v>
      </c>
      <c r="G142" s="15" t="s">
        <v>1198</v>
      </c>
      <c r="H142" s="15">
        <f>1409.9</f>
        <v>1409.9</v>
      </c>
    </row>
    <row r="143" spans="1:8" ht="51" x14ac:dyDescent="0.25">
      <c r="A143" s="8"/>
      <c r="B143" s="6"/>
      <c r="C143" s="20" t="s">
        <v>89</v>
      </c>
      <c r="D143" s="20" t="s">
        <v>228</v>
      </c>
      <c r="E143" s="15">
        <f>2667.8</f>
        <v>2667.8</v>
      </c>
      <c r="F143" s="15">
        <f>2667.8</f>
        <v>2667.8</v>
      </c>
      <c r="G143" s="15" t="s">
        <v>1198</v>
      </c>
      <c r="H143" s="15">
        <f>2667.8</f>
        <v>2667.8</v>
      </c>
    </row>
    <row r="144" spans="1:8" ht="15.75" customHeight="1" x14ac:dyDescent="0.25">
      <c r="A144" s="8"/>
      <c r="B144" s="6"/>
      <c r="C144" s="22" t="s">
        <v>90</v>
      </c>
      <c r="D144" s="22"/>
      <c r="E144" s="16">
        <f>E55+E81+E103+E111+E128+E133+E138</f>
        <v>218786.79000000004</v>
      </c>
      <c r="F144" s="16">
        <f>F55+F81+F103+F111+F128+F133+F138</f>
        <v>218726.23</v>
      </c>
      <c r="G144" s="25" t="s">
        <v>1198</v>
      </c>
      <c r="H144" s="16">
        <f>H55+H81+H103+H111+H128+H133+H138</f>
        <v>218726.23</v>
      </c>
    </row>
    <row r="145" spans="1:8" ht="38.25" x14ac:dyDescent="0.25">
      <c r="A145" s="8">
        <v>3</v>
      </c>
      <c r="B145" s="6" t="s">
        <v>230</v>
      </c>
      <c r="C145" s="19" t="s">
        <v>10</v>
      </c>
      <c r="D145" s="19" t="s">
        <v>439</v>
      </c>
      <c r="E145" s="14">
        <f>E146+E154+E162+E166+E169</f>
        <v>67048.590000000011</v>
      </c>
      <c r="F145" s="14">
        <f>F146+F154+F162+F166+F169</f>
        <v>66599.05</v>
      </c>
      <c r="G145" s="14" t="s">
        <v>440</v>
      </c>
      <c r="H145" s="14">
        <f>H146+H154+H162+H166+H169</f>
        <v>66599.05</v>
      </c>
    </row>
    <row r="146" spans="1:8" ht="63.75" x14ac:dyDescent="0.25">
      <c r="A146" s="8"/>
      <c r="B146" s="6"/>
      <c r="C146" s="20" t="s">
        <v>12</v>
      </c>
      <c r="D146" s="20" t="s">
        <v>441</v>
      </c>
      <c r="E146" s="15">
        <f>E147+E148+E149+E150+E151+E152+E153</f>
        <v>50495.08</v>
      </c>
      <c r="F146" s="15">
        <f>F147+F148+F149+F150+F151+F152+F153</f>
        <v>50340.66</v>
      </c>
      <c r="G146" s="15" t="s">
        <v>442</v>
      </c>
      <c r="H146" s="15">
        <f>H147+H148+H149+H150+H151+H152+H153</f>
        <v>50340.66</v>
      </c>
    </row>
    <row r="147" spans="1:8" ht="51" x14ac:dyDescent="0.25">
      <c r="A147" s="8"/>
      <c r="B147" s="6"/>
      <c r="C147" s="21" t="s">
        <v>26</v>
      </c>
      <c r="D147" s="20" t="s">
        <v>443</v>
      </c>
      <c r="E147" s="15">
        <f>36532.28</f>
        <v>36532.28</v>
      </c>
      <c r="F147" s="15">
        <f>36377.87</f>
        <v>36377.870000000003</v>
      </c>
      <c r="G147" s="15" t="s">
        <v>444</v>
      </c>
      <c r="H147" s="15">
        <f>36377.87</f>
        <v>36377.870000000003</v>
      </c>
    </row>
    <row r="148" spans="1:8" ht="51" x14ac:dyDescent="0.25">
      <c r="A148" s="8"/>
      <c r="B148" s="6"/>
      <c r="C148" s="21" t="s">
        <v>28</v>
      </c>
      <c r="D148" s="20" t="s">
        <v>445</v>
      </c>
      <c r="E148" s="15">
        <f>3841.7</f>
        <v>3841.7</v>
      </c>
      <c r="F148" s="15">
        <f>3841.7</f>
        <v>3841.7</v>
      </c>
      <c r="G148" s="15" t="s">
        <v>446</v>
      </c>
      <c r="H148" s="15">
        <f>3841.7</f>
        <v>3841.7</v>
      </c>
    </row>
    <row r="149" spans="1:8" ht="51" x14ac:dyDescent="0.25">
      <c r="A149" s="8"/>
      <c r="B149" s="6"/>
      <c r="C149" s="21" t="s">
        <v>30</v>
      </c>
      <c r="D149" s="20" t="s">
        <v>447</v>
      </c>
      <c r="E149" s="15">
        <f>1318.8</f>
        <v>1318.8</v>
      </c>
      <c r="F149" s="15">
        <f>1318.8</f>
        <v>1318.8</v>
      </c>
      <c r="G149" s="15" t="s">
        <v>446</v>
      </c>
      <c r="H149" s="15">
        <f>1318.8</f>
        <v>1318.8</v>
      </c>
    </row>
    <row r="150" spans="1:8" ht="38.25" x14ac:dyDescent="0.25">
      <c r="A150" s="8"/>
      <c r="B150" s="6"/>
      <c r="C150" s="21" t="s">
        <v>87</v>
      </c>
      <c r="D150" s="20" t="s">
        <v>448</v>
      </c>
      <c r="E150" s="15">
        <f>726.55</f>
        <v>726.55</v>
      </c>
      <c r="F150" s="15">
        <f>726.55</f>
        <v>726.55</v>
      </c>
      <c r="G150" s="15" t="s">
        <v>446</v>
      </c>
      <c r="H150" s="15">
        <f>726.55</f>
        <v>726.55</v>
      </c>
    </row>
    <row r="151" spans="1:8" ht="38.25" x14ac:dyDescent="0.25">
      <c r="A151" s="8"/>
      <c r="B151" s="6"/>
      <c r="C151" s="21" t="s">
        <v>89</v>
      </c>
      <c r="D151" s="20" t="s">
        <v>449</v>
      </c>
      <c r="E151" s="15">
        <f>4400</f>
        <v>4400</v>
      </c>
      <c r="F151" s="15">
        <f>4400</f>
        <v>4400</v>
      </c>
      <c r="G151" s="15" t="s">
        <v>446</v>
      </c>
      <c r="H151" s="15">
        <f>4400</f>
        <v>4400</v>
      </c>
    </row>
    <row r="152" spans="1:8" ht="38.25" x14ac:dyDescent="0.25">
      <c r="A152" s="8"/>
      <c r="B152" s="6"/>
      <c r="C152" s="21" t="s">
        <v>98</v>
      </c>
      <c r="D152" s="20" t="s">
        <v>450</v>
      </c>
      <c r="E152" s="15">
        <f>3600</f>
        <v>3600</v>
      </c>
      <c r="F152" s="15">
        <f>3600</f>
        <v>3600</v>
      </c>
      <c r="G152" s="15" t="s">
        <v>446</v>
      </c>
      <c r="H152" s="15">
        <f>3600</f>
        <v>3600</v>
      </c>
    </row>
    <row r="153" spans="1:8" ht="76.5" x14ac:dyDescent="0.25">
      <c r="A153" s="8"/>
      <c r="B153" s="6"/>
      <c r="C153" s="21" t="s">
        <v>100</v>
      </c>
      <c r="D153" s="20" t="s">
        <v>451</v>
      </c>
      <c r="E153" s="15">
        <f>75.75</f>
        <v>75.75</v>
      </c>
      <c r="F153" s="15">
        <f>75.74</f>
        <v>75.739999999999995</v>
      </c>
      <c r="G153" s="15" t="s">
        <v>446</v>
      </c>
      <c r="H153" s="15">
        <f>75.74</f>
        <v>75.739999999999995</v>
      </c>
    </row>
    <row r="154" spans="1:8" ht="76.5" x14ac:dyDescent="0.25">
      <c r="A154" s="8"/>
      <c r="B154" s="6"/>
      <c r="C154" s="20" t="s">
        <v>14</v>
      </c>
      <c r="D154" s="20" t="s">
        <v>452</v>
      </c>
      <c r="E154" s="15">
        <f>E155+E156+E157+E158+E159+E160+E161</f>
        <v>15934.150000000001</v>
      </c>
      <c r="F154" s="15">
        <f>F155+F156+F157+F158+F159+F160+F161</f>
        <v>15736.970000000001</v>
      </c>
      <c r="G154" s="15" t="s">
        <v>453</v>
      </c>
      <c r="H154" s="15">
        <f>H155+H156+H157+H158+H159+H160+H161</f>
        <v>15736.970000000001</v>
      </c>
    </row>
    <row r="155" spans="1:8" ht="51" x14ac:dyDescent="0.25">
      <c r="A155" s="8"/>
      <c r="B155" s="6"/>
      <c r="C155" s="21" t="s">
        <v>33</v>
      </c>
      <c r="D155" s="20" t="s">
        <v>454</v>
      </c>
      <c r="E155" s="15">
        <f>495</f>
        <v>495</v>
      </c>
      <c r="F155" s="15">
        <f>495</f>
        <v>495</v>
      </c>
      <c r="G155" s="15" t="s">
        <v>446</v>
      </c>
      <c r="H155" s="15">
        <f>495</f>
        <v>495</v>
      </c>
    </row>
    <row r="156" spans="1:8" ht="51" x14ac:dyDescent="0.25">
      <c r="A156" s="8"/>
      <c r="B156" s="6"/>
      <c r="C156" s="21" t="s">
        <v>35</v>
      </c>
      <c r="D156" s="20" t="s">
        <v>455</v>
      </c>
      <c r="E156" s="15">
        <f>1219.84</f>
        <v>1219.8399999999999</v>
      </c>
      <c r="F156" s="15">
        <f>1219.84</f>
        <v>1219.8399999999999</v>
      </c>
      <c r="G156" s="15" t="s">
        <v>446</v>
      </c>
      <c r="H156" s="15">
        <f>1219.84</f>
        <v>1219.8399999999999</v>
      </c>
    </row>
    <row r="157" spans="1:8" ht="51" x14ac:dyDescent="0.25">
      <c r="A157" s="8"/>
      <c r="B157" s="6"/>
      <c r="C157" s="21" t="s">
        <v>276</v>
      </c>
      <c r="D157" s="20" t="s">
        <v>456</v>
      </c>
      <c r="E157" s="15">
        <f>531</f>
        <v>531</v>
      </c>
      <c r="F157" s="15">
        <f>531</f>
        <v>531</v>
      </c>
      <c r="G157" s="15" t="s">
        <v>446</v>
      </c>
      <c r="H157" s="15">
        <f>531</f>
        <v>531</v>
      </c>
    </row>
    <row r="158" spans="1:8" ht="38.25" x14ac:dyDescent="0.25">
      <c r="A158" s="8"/>
      <c r="B158" s="6"/>
      <c r="C158" s="21" t="s">
        <v>278</v>
      </c>
      <c r="D158" s="20" t="s">
        <v>457</v>
      </c>
      <c r="E158" s="15">
        <f>55</f>
        <v>55</v>
      </c>
      <c r="F158" s="15">
        <f>55</f>
        <v>55</v>
      </c>
      <c r="G158" s="15" t="s">
        <v>446</v>
      </c>
      <c r="H158" s="15">
        <f>55</f>
        <v>55</v>
      </c>
    </row>
    <row r="159" spans="1:8" ht="38.25" x14ac:dyDescent="0.25">
      <c r="A159" s="8"/>
      <c r="B159" s="6"/>
      <c r="C159" s="21" t="s">
        <v>458</v>
      </c>
      <c r="D159" s="20" t="s">
        <v>459</v>
      </c>
      <c r="E159" s="15">
        <f>1006.17</f>
        <v>1006.17</v>
      </c>
      <c r="F159" s="15">
        <f>1006.17</f>
        <v>1006.17</v>
      </c>
      <c r="G159" s="15" t="s">
        <v>446</v>
      </c>
      <c r="H159" s="15">
        <f>1006.17</f>
        <v>1006.17</v>
      </c>
    </row>
    <row r="160" spans="1:8" ht="38.25" x14ac:dyDescent="0.25">
      <c r="A160" s="8"/>
      <c r="B160" s="6"/>
      <c r="C160" s="21" t="s">
        <v>460</v>
      </c>
      <c r="D160" s="20" t="s">
        <v>461</v>
      </c>
      <c r="E160" s="15">
        <f>2798.44+4786.9</f>
        <v>7585.34</v>
      </c>
      <c r="F160" s="15">
        <f>2798.44+4786.9</f>
        <v>7585.34</v>
      </c>
      <c r="G160" s="15" t="s">
        <v>446</v>
      </c>
      <c r="H160" s="15">
        <f>2798.44+4786.9</f>
        <v>7585.34</v>
      </c>
    </row>
    <row r="161" spans="1:8" ht="38.25" x14ac:dyDescent="0.25">
      <c r="A161" s="8"/>
      <c r="B161" s="6"/>
      <c r="C161" s="21" t="s">
        <v>462</v>
      </c>
      <c r="D161" s="20" t="s">
        <v>463</v>
      </c>
      <c r="E161" s="15">
        <f>5041.8</f>
        <v>5041.8</v>
      </c>
      <c r="F161" s="15">
        <f>4844.62</f>
        <v>4844.62</v>
      </c>
      <c r="G161" s="15" t="s">
        <v>464</v>
      </c>
      <c r="H161" s="15">
        <f>4844.62</f>
        <v>4844.62</v>
      </c>
    </row>
    <row r="162" spans="1:8" ht="51" x14ac:dyDescent="0.25">
      <c r="A162" s="8"/>
      <c r="B162" s="6"/>
      <c r="C162" s="20" t="s">
        <v>16</v>
      </c>
      <c r="D162" s="20" t="s">
        <v>465</v>
      </c>
      <c r="E162" s="15">
        <f>E163+E164+E165</f>
        <v>201.55</v>
      </c>
      <c r="F162" s="15">
        <f>F163+F164+F165</f>
        <v>200.94</v>
      </c>
      <c r="G162" s="15" t="s">
        <v>442</v>
      </c>
      <c r="H162" s="15">
        <f>H163+H164+H165</f>
        <v>200.94</v>
      </c>
    </row>
    <row r="163" spans="1:8" ht="51" x14ac:dyDescent="0.25">
      <c r="A163" s="8"/>
      <c r="B163" s="6"/>
      <c r="C163" s="21" t="s">
        <v>38</v>
      </c>
      <c r="D163" s="20" t="s">
        <v>466</v>
      </c>
      <c r="E163" s="15">
        <f>0</f>
        <v>0</v>
      </c>
      <c r="F163" s="15">
        <f>0</f>
        <v>0</v>
      </c>
      <c r="G163" s="15" t="s">
        <v>18</v>
      </c>
      <c r="H163" s="15">
        <f>0</f>
        <v>0</v>
      </c>
    </row>
    <row r="164" spans="1:8" ht="63.75" x14ac:dyDescent="0.25">
      <c r="A164" s="8"/>
      <c r="B164" s="6"/>
      <c r="C164" s="21" t="s">
        <v>40</v>
      </c>
      <c r="D164" s="20" t="s">
        <v>467</v>
      </c>
      <c r="E164" s="15">
        <f>157</f>
        <v>157</v>
      </c>
      <c r="F164" s="15">
        <f>156.39</f>
        <v>156.38999999999999</v>
      </c>
      <c r="G164" s="15" t="s">
        <v>444</v>
      </c>
      <c r="H164" s="15">
        <f>156.39</f>
        <v>156.38999999999999</v>
      </c>
    </row>
    <row r="165" spans="1:8" ht="38.25" x14ac:dyDescent="0.25">
      <c r="A165" s="8"/>
      <c r="B165" s="6"/>
      <c r="C165" s="21" t="s">
        <v>42</v>
      </c>
      <c r="D165" s="20" t="s">
        <v>468</v>
      </c>
      <c r="E165" s="15">
        <f>44.55</f>
        <v>44.55</v>
      </c>
      <c r="F165" s="15">
        <f>44.55</f>
        <v>44.55</v>
      </c>
      <c r="G165" s="15" t="s">
        <v>446</v>
      </c>
      <c r="H165" s="15">
        <f>44.55</f>
        <v>44.55</v>
      </c>
    </row>
    <row r="166" spans="1:8" ht="38.25" x14ac:dyDescent="0.25">
      <c r="A166" s="8"/>
      <c r="B166" s="6"/>
      <c r="C166" s="20" t="s">
        <v>19</v>
      </c>
      <c r="D166" s="20" t="s">
        <v>469</v>
      </c>
      <c r="E166" s="15">
        <f>E167+E168</f>
        <v>68</v>
      </c>
      <c r="F166" s="15">
        <f>F167+F168</f>
        <v>68</v>
      </c>
      <c r="G166" s="15" t="s">
        <v>446</v>
      </c>
      <c r="H166" s="15">
        <f>H167+H168</f>
        <v>68</v>
      </c>
    </row>
    <row r="167" spans="1:8" ht="89.25" x14ac:dyDescent="0.25">
      <c r="A167" s="8"/>
      <c r="B167" s="6"/>
      <c r="C167" s="21" t="s">
        <v>195</v>
      </c>
      <c r="D167" s="20" t="s">
        <v>470</v>
      </c>
      <c r="E167" s="15">
        <f>12</f>
        <v>12</v>
      </c>
      <c r="F167" s="15">
        <f>12</f>
        <v>12</v>
      </c>
      <c r="G167" s="15" t="s">
        <v>446</v>
      </c>
      <c r="H167" s="15">
        <f>12</f>
        <v>12</v>
      </c>
    </row>
    <row r="168" spans="1:8" ht="51" x14ac:dyDescent="0.25">
      <c r="A168" s="8"/>
      <c r="B168" s="6"/>
      <c r="C168" s="21" t="s">
        <v>284</v>
      </c>
      <c r="D168" s="20" t="s">
        <v>471</v>
      </c>
      <c r="E168" s="15">
        <f>56</f>
        <v>56</v>
      </c>
      <c r="F168" s="15">
        <f>56</f>
        <v>56</v>
      </c>
      <c r="G168" s="15" t="s">
        <v>446</v>
      </c>
      <c r="H168" s="15">
        <f>56</f>
        <v>56</v>
      </c>
    </row>
    <row r="169" spans="1:8" ht="76.5" x14ac:dyDescent="0.25">
      <c r="A169" s="8"/>
      <c r="B169" s="6"/>
      <c r="C169" s="20" t="s">
        <v>21</v>
      </c>
      <c r="D169" s="20" t="s">
        <v>472</v>
      </c>
      <c r="E169" s="15">
        <f>E170+E171+E172+E173+E174+E175+E176</f>
        <v>349.81</v>
      </c>
      <c r="F169" s="15">
        <f>F170+F171+F172+F173+F174+F175+F176</f>
        <v>252.48000000000002</v>
      </c>
      <c r="G169" s="15" t="s">
        <v>473</v>
      </c>
      <c r="H169" s="15">
        <f>H170+H171+H172+H173+H174+H175+H176</f>
        <v>252.48000000000002</v>
      </c>
    </row>
    <row r="170" spans="1:8" ht="63.75" x14ac:dyDescent="0.25">
      <c r="A170" s="8"/>
      <c r="B170" s="6"/>
      <c r="C170" s="21" t="s">
        <v>203</v>
      </c>
      <c r="D170" s="20" t="s">
        <v>474</v>
      </c>
      <c r="E170" s="15">
        <f>31.86</f>
        <v>31.86</v>
      </c>
      <c r="F170" s="15">
        <f>31.86</f>
        <v>31.86</v>
      </c>
      <c r="G170" s="15" t="s">
        <v>446</v>
      </c>
      <c r="H170" s="15">
        <f>31.86</f>
        <v>31.86</v>
      </c>
    </row>
    <row r="171" spans="1:8" ht="114.75" x14ac:dyDescent="0.25">
      <c r="A171" s="8"/>
      <c r="B171" s="6"/>
      <c r="C171" s="21" t="s">
        <v>475</v>
      </c>
      <c r="D171" s="20" t="s">
        <v>476</v>
      </c>
      <c r="E171" s="15">
        <f>0</f>
        <v>0</v>
      </c>
      <c r="F171" s="15">
        <f>0</f>
        <v>0</v>
      </c>
      <c r="G171" s="15" t="s">
        <v>18</v>
      </c>
      <c r="H171" s="15">
        <f>0</f>
        <v>0</v>
      </c>
    </row>
    <row r="172" spans="1:8" ht="76.5" x14ac:dyDescent="0.25">
      <c r="A172" s="8"/>
      <c r="B172" s="6"/>
      <c r="C172" s="21" t="s">
        <v>477</v>
      </c>
      <c r="D172" s="20" t="s">
        <v>478</v>
      </c>
      <c r="E172" s="15">
        <f>103.5</f>
        <v>103.5</v>
      </c>
      <c r="F172" s="15">
        <f>103.5</f>
        <v>103.5</v>
      </c>
      <c r="G172" s="15" t="s">
        <v>446</v>
      </c>
      <c r="H172" s="15">
        <f>103.5</f>
        <v>103.5</v>
      </c>
    </row>
    <row r="173" spans="1:8" ht="89.25" x14ac:dyDescent="0.25">
      <c r="A173" s="8"/>
      <c r="B173" s="6"/>
      <c r="C173" s="21" t="s">
        <v>479</v>
      </c>
      <c r="D173" s="20" t="s">
        <v>480</v>
      </c>
      <c r="E173" s="15">
        <f>214.45</f>
        <v>214.45</v>
      </c>
      <c r="F173" s="15">
        <f>117.12</f>
        <v>117.12</v>
      </c>
      <c r="G173" s="15" t="s">
        <v>481</v>
      </c>
      <c r="H173" s="15">
        <f>117.12</f>
        <v>117.12</v>
      </c>
    </row>
    <row r="174" spans="1:8" ht="51" x14ac:dyDescent="0.25">
      <c r="A174" s="8"/>
      <c r="B174" s="6"/>
      <c r="C174" s="21" t="s">
        <v>482</v>
      </c>
      <c r="D174" s="20" t="s">
        <v>483</v>
      </c>
      <c r="E174" s="15">
        <f>0</f>
        <v>0</v>
      </c>
      <c r="F174" s="15">
        <f>0</f>
        <v>0</v>
      </c>
      <c r="G174" s="15" t="s">
        <v>18</v>
      </c>
      <c r="H174" s="15">
        <f>0</f>
        <v>0</v>
      </c>
    </row>
    <row r="175" spans="1:8" ht="51" x14ac:dyDescent="0.25">
      <c r="A175" s="8"/>
      <c r="B175" s="6"/>
      <c r="C175" s="21" t="s">
        <v>484</v>
      </c>
      <c r="D175" s="20" t="s">
        <v>485</v>
      </c>
      <c r="E175" s="15">
        <f>0</f>
        <v>0</v>
      </c>
      <c r="F175" s="15">
        <f>0</f>
        <v>0</v>
      </c>
      <c r="G175" s="15" t="s">
        <v>18</v>
      </c>
      <c r="H175" s="15">
        <f>0</f>
        <v>0</v>
      </c>
    </row>
    <row r="176" spans="1:8" ht="51" x14ac:dyDescent="0.25">
      <c r="A176" s="8"/>
      <c r="B176" s="6"/>
      <c r="C176" s="21" t="s">
        <v>486</v>
      </c>
      <c r="D176" s="20" t="s">
        <v>487</v>
      </c>
      <c r="E176" s="15">
        <f>0</f>
        <v>0</v>
      </c>
      <c r="F176" s="15">
        <f>0</f>
        <v>0</v>
      </c>
      <c r="G176" s="15" t="s">
        <v>18</v>
      </c>
      <c r="H176" s="15">
        <f>0</f>
        <v>0</v>
      </c>
    </row>
    <row r="177" spans="1:8" ht="63.75" x14ac:dyDescent="0.25">
      <c r="A177" s="8"/>
      <c r="B177" s="6"/>
      <c r="C177" s="19" t="s">
        <v>23</v>
      </c>
      <c r="D177" s="19" t="s">
        <v>488</v>
      </c>
      <c r="E177" s="14">
        <f>E178+E183+E188+E193+E198+E203</f>
        <v>24383.429999999997</v>
      </c>
      <c r="F177" s="14">
        <f>F178+F183+F188+F193+F198+F203</f>
        <v>24383.29</v>
      </c>
      <c r="G177" s="14" t="s">
        <v>446</v>
      </c>
      <c r="H177" s="14">
        <f>H178+H183+H188+H193+H198+H203</f>
        <v>24383.29</v>
      </c>
    </row>
    <row r="178" spans="1:8" ht="51" x14ac:dyDescent="0.25">
      <c r="A178" s="8"/>
      <c r="B178" s="6"/>
      <c r="C178" s="20" t="s">
        <v>12</v>
      </c>
      <c r="D178" s="20" t="s">
        <v>489</v>
      </c>
      <c r="E178" s="15">
        <f>E179+E180+E181+E182</f>
        <v>0</v>
      </c>
      <c r="F178" s="15">
        <f>F179+F180+F181+F182</f>
        <v>0</v>
      </c>
      <c r="G178" s="15" t="s">
        <v>18</v>
      </c>
      <c r="H178" s="15">
        <f>H179+H180+H181+H182</f>
        <v>0</v>
      </c>
    </row>
    <row r="179" spans="1:8" ht="51" x14ac:dyDescent="0.25">
      <c r="A179" s="8"/>
      <c r="B179" s="6"/>
      <c r="C179" s="21" t="s">
        <v>26</v>
      </c>
      <c r="D179" s="20" t="s">
        <v>490</v>
      </c>
      <c r="E179" s="15">
        <f>0</f>
        <v>0</v>
      </c>
      <c r="F179" s="15">
        <f>0</f>
        <v>0</v>
      </c>
      <c r="G179" s="15" t="s">
        <v>18</v>
      </c>
      <c r="H179" s="15">
        <f>0</f>
        <v>0</v>
      </c>
    </row>
    <row r="180" spans="1:8" ht="51" x14ac:dyDescent="0.25">
      <c r="A180" s="8"/>
      <c r="B180" s="6"/>
      <c r="C180" s="21" t="s">
        <v>28</v>
      </c>
      <c r="D180" s="20" t="s">
        <v>491</v>
      </c>
      <c r="E180" s="15">
        <f>0</f>
        <v>0</v>
      </c>
      <c r="F180" s="15">
        <f>0</f>
        <v>0</v>
      </c>
      <c r="G180" s="15" t="s">
        <v>18</v>
      </c>
      <c r="H180" s="15">
        <f>0</f>
        <v>0</v>
      </c>
    </row>
    <row r="181" spans="1:8" ht="51" x14ac:dyDescent="0.25">
      <c r="A181" s="8"/>
      <c r="B181" s="6"/>
      <c r="C181" s="21" t="s">
        <v>30</v>
      </c>
      <c r="D181" s="20" t="s">
        <v>492</v>
      </c>
      <c r="E181" s="15">
        <f>0</f>
        <v>0</v>
      </c>
      <c r="F181" s="15">
        <f>0</f>
        <v>0</v>
      </c>
      <c r="G181" s="15" t="s">
        <v>18</v>
      </c>
      <c r="H181" s="15">
        <f>0</f>
        <v>0</v>
      </c>
    </row>
    <row r="182" spans="1:8" ht="51" x14ac:dyDescent="0.25">
      <c r="A182" s="8"/>
      <c r="B182" s="6"/>
      <c r="C182" s="21" t="s">
        <v>87</v>
      </c>
      <c r="D182" s="20" t="s">
        <v>493</v>
      </c>
      <c r="E182" s="15">
        <f>0</f>
        <v>0</v>
      </c>
      <c r="F182" s="15">
        <f>0</f>
        <v>0</v>
      </c>
      <c r="G182" s="15" t="s">
        <v>18</v>
      </c>
      <c r="H182" s="15">
        <f>0</f>
        <v>0</v>
      </c>
    </row>
    <row r="183" spans="1:8" ht="38.25" x14ac:dyDescent="0.25">
      <c r="A183" s="8"/>
      <c r="B183" s="6"/>
      <c r="C183" s="20" t="s">
        <v>14</v>
      </c>
      <c r="D183" s="20" t="s">
        <v>494</v>
      </c>
      <c r="E183" s="15">
        <f>E184+E185+E186+E187</f>
        <v>37.9</v>
      </c>
      <c r="F183" s="15">
        <f>F184+F185+F186+F187</f>
        <v>37.9</v>
      </c>
      <c r="G183" s="15" t="s">
        <v>446</v>
      </c>
      <c r="H183" s="15">
        <f>H184+H185+H186+H187</f>
        <v>37.9</v>
      </c>
    </row>
    <row r="184" spans="1:8" ht="51" x14ac:dyDescent="0.25">
      <c r="A184" s="8"/>
      <c r="B184" s="6"/>
      <c r="C184" s="21" t="s">
        <v>33</v>
      </c>
      <c r="D184" s="20" t="s">
        <v>495</v>
      </c>
      <c r="E184" s="15">
        <f>0</f>
        <v>0</v>
      </c>
      <c r="F184" s="15">
        <f>0</f>
        <v>0</v>
      </c>
      <c r="G184" s="15" t="s">
        <v>18</v>
      </c>
      <c r="H184" s="15">
        <f>0</f>
        <v>0</v>
      </c>
    </row>
    <row r="185" spans="1:8" ht="51" x14ac:dyDescent="0.25">
      <c r="A185" s="8"/>
      <c r="B185" s="6"/>
      <c r="C185" s="21" t="s">
        <v>35</v>
      </c>
      <c r="D185" s="20" t="s">
        <v>496</v>
      </c>
      <c r="E185" s="15">
        <f>0</f>
        <v>0</v>
      </c>
      <c r="F185" s="15">
        <f>0</f>
        <v>0</v>
      </c>
      <c r="G185" s="15" t="s">
        <v>18</v>
      </c>
      <c r="H185" s="15">
        <f>0</f>
        <v>0</v>
      </c>
    </row>
    <row r="186" spans="1:8" ht="140.25" x14ac:dyDescent="0.25">
      <c r="A186" s="8"/>
      <c r="B186" s="6"/>
      <c r="C186" s="21" t="s">
        <v>276</v>
      </c>
      <c r="D186" s="20" t="s">
        <v>497</v>
      </c>
      <c r="E186" s="15">
        <f>0</f>
        <v>0</v>
      </c>
      <c r="F186" s="15">
        <f>0</f>
        <v>0</v>
      </c>
      <c r="G186" s="15" t="s">
        <v>18</v>
      </c>
      <c r="H186" s="15">
        <f>0</f>
        <v>0</v>
      </c>
    </row>
    <row r="187" spans="1:8" ht="38.25" x14ac:dyDescent="0.25">
      <c r="A187" s="8"/>
      <c r="B187" s="6"/>
      <c r="C187" s="21" t="s">
        <v>278</v>
      </c>
      <c r="D187" s="20" t="s">
        <v>498</v>
      </c>
      <c r="E187" s="15">
        <f>37.9</f>
        <v>37.9</v>
      </c>
      <c r="F187" s="15">
        <f>37.9</f>
        <v>37.9</v>
      </c>
      <c r="G187" s="15" t="s">
        <v>446</v>
      </c>
      <c r="H187" s="15">
        <f>37.9</f>
        <v>37.9</v>
      </c>
    </row>
    <row r="188" spans="1:8" ht="38.25" x14ac:dyDescent="0.25">
      <c r="A188" s="8"/>
      <c r="B188" s="6"/>
      <c r="C188" s="20" t="s">
        <v>16</v>
      </c>
      <c r="D188" s="20" t="s">
        <v>499</v>
      </c>
      <c r="E188" s="15">
        <f>E189+E190+E191+E192</f>
        <v>590.59999999999991</v>
      </c>
      <c r="F188" s="15">
        <f>F189+F190+F191+F192</f>
        <v>590.59999999999991</v>
      </c>
      <c r="G188" s="15" t="s">
        <v>446</v>
      </c>
      <c r="H188" s="15">
        <f>H189+H190+H191+H192</f>
        <v>590.59999999999991</v>
      </c>
    </row>
    <row r="189" spans="1:8" ht="76.5" x14ac:dyDescent="0.25">
      <c r="A189" s="8"/>
      <c r="B189" s="6"/>
      <c r="C189" s="21" t="s">
        <v>38</v>
      </c>
      <c r="D189" s="20" t="s">
        <v>500</v>
      </c>
      <c r="E189" s="15">
        <f>285.8</f>
        <v>285.8</v>
      </c>
      <c r="F189" s="15">
        <f>285.8</f>
        <v>285.8</v>
      </c>
      <c r="G189" s="15" t="s">
        <v>446</v>
      </c>
      <c r="H189" s="15">
        <f>285.8</f>
        <v>285.8</v>
      </c>
    </row>
    <row r="190" spans="1:8" ht="89.25" x14ac:dyDescent="0.25">
      <c r="A190" s="8"/>
      <c r="B190" s="6"/>
      <c r="C190" s="21" t="s">
        <v>40</v>
      </c>
      <c r="D190" s="20" t="s">
        <v>501</v>
      </c>
      <c r="E190" s="15">
        <f>300</f>
        <v>300</v>
      </c>
      <c r="F190" s="15">
        <f>300</f>
        <v>300</v>
      </c>
      <c r="G190" s="15" t="s">
        <v>446</v>
      </c>
      <c r="H190" s="15">
        <f>300</f>
        <v>300</v>
      </c>
    </row>
    <row r="191" spans="1:8" ht="51" x14ac:dyDescent="0.25">
      <c r="A191" s="8"/>
      <c r="B191" s="6"/>
      <c r="C191" s="21" t="s">
        <v>42</v>
      </c>
      <c r="D191" s="20" t="s">
        <v>502</v>
      </c>
      <c r="E191" s="15">
        <f>0</f>
        <v>0</v>
      </c>
      <c r="F191" s="15">
        <f>0</f>
        <v>0</v>
      </c>
      <c r="G191" s="15" t="s">
        <v>18</v>
      </c>
      <c r="H191" s="15">
        <f>0</f>
        <v>0</v>
      </c>
    </row>
    <row r="192" spans="1:8" ht="63.75" x14ac:dyDescent="0.25">
      <c r="A192" s="8"/>
      <c r="B192" s="6"/>
      <c r="C192" s="21" t="s">
        <v>344</v>
      </c>
      <c r="D192" s="20" t="s">
        <v>503</v>
      </c>
      <c r="E192" s="15">
        <f>4.8</f>
        <v>4.8</v>
      </c>
      <c r="F192" s="15">
        <f>4.8</f>
        <v>4.8</v>
      </c>
      <c r="G192" s="15" t="s">
        <v>446</v>
      </c>
      <c r="H192" s="15">
        <f>4.8</f>
        <v>4.8</v>
      </c>
    </row>
    <row r="193" spans="1:8" ht="51" x14ac:dyDescent="0.25">
      <c r="A193" s="8"/>
      <c r="B193" s="6"/>
      <c r="C193" s="20" t="s">
        <v>19</v>
      </c>
      <c r="D193" s="20" t="s">
        <v>504</v>
      </c>
      <c r="E193" s="15">
        <f>E194+E195+E196+E197</f>
        <v>0</v>
      </c>
      <c r="F193" s="15">
        <f>F194+F195+F196+F197</f>
        <v>0</v>
      </c>
      <c r="G193" s="15" t="s">
        <v>505</v>
      </c>
      <c r="H193" s="15">
        <f>H194+H195+H196+H197</f>
        <v>0</v>
      </c>
    </row>
    <row r="194" spans="1:8" ht="63.75" x14ac:dyDescent="0.25">
      <c r="A194" s="8"/>
      <c r="B194" s="6"/>
      <c r="C194" s="21" t="s">
        <v>195</v>
      </c>
      <c r="D194" s="20" t="s">
        <v>506</v>
      </c>
      <c r="E194" s="15">
        <f>0</f>
        <v>0</v>
      </c>
      <c r="F194" s="15">
        <f>0</f>
        <v>0</v>
      </c>
      <c r="G194" s="15" t="s">
        <v>505</v>
      </c>
      <c r="H194" s="15">
        <f>0</f>
        <v>0</v>
      </c>
    </row>
    <row r="195" spans="1:8" ht="63.75" x14ac:dyDescent="0.25">
      <c r="A195" s="8"/>
      <c r="B195" s="6"/>
      <c r="C195" s="21" t="s">
        <v>284</v>
      </c>
      <c r="D195" s="20" t="s">
        <v>507</v>
      </c>
      <c r="E195" s="15">
        <f>0</f>
        <v>0</v>
      </c>
      <c r="F195" s="15">
        <f>0</f>
        <v>0</v>
      </c>
      <c r="G195" s="15" t="s">
        <v>505</v>
      </c>
      <c r="H195" s="15">
        <f>0</f>
        <v>0</v>
      </c>
    </row>
    <row r="196" spans="1:8" ht="63.75" x14ac:dyDescent="0.25">
      <c r="A196" s="8"/>
      <c r="B196" s="6"/>
      <c r="C196" s="21" t="s">
        <v>375</v>
      </c>
      <c r="D196" s="20" t="s">
        <v>508</v>
      </c>
      <c r="E196" s="15">
        <f>0</f>
        <v>0</v>
      </c>
      <c r="F196" s="15">
        <f>0</f>
        <v>0</v>
      </c>
      <c r="G196" s="15" t="s">
        <v>505</v>
      </c>
      <c r="H196" s="15">
        <f>0</f>
        <v>0</v>
      </c>
    </row>
    <row r="197" spans="1:8" ht="51" x14ac:dyDescent="0.25">
      <c r="A197" s="8"/>
      <c r="B197" s="6"/>
      <c r="C197" s="21" t="s">
        <v>509</v>
      </c>
      <c r="D197" s="20" t="s">
        <v>510</v>
      </c>
      <c r="E197" s="15">
        <f>0</f>
        <v>0</v>
      </c>
      <c r="F197" s="15">
        <f>0</f>
        <v>0</v>
      </c>
      <c r="G197" s="15" t="s">
        <v>505</v>
      </c>
      <c r="H197" s="15">
        <f>0</f>
        <v>0</v>
      </c>
    </row>
    <row r="198" spans="1:8" ht="38.25" x14ac:dyDescent="0.25">
      <c r="A198" s="8"/>
      <c r="B198" s="6"/>
      <c r="C198" s="20" t="s">
        <v>21</v>
      </c>
      <c r="D198" s="20" t="s">
        <v>511</v>
      </c>
      <c r="E198" s="15">
        <f>E199+E200+E201+E202</f>
        <v>70.599999999999994</v>
      </c>
      <c r="F198" s="15">
        <f>F199+F200+F201+F202</f>
        <v>70.58</v>
      </c>
      <c r="G198" s="15" t="s">
        <v>446</v>
      </c>
      <c r="H198" s="15">
        <f>H199+H200+H201+H202</f>
        <v>70.58</v>
      </c>
    </row>
    <row r="199" spans="1:8" ht="51" x14ac:dyDescent="0.25">
      <c r="A199" s="8"/>
      <c r="B199" s="6"/>
      <c r="C199" s="21" t="s">
        <v>203</v>
      </c>
      <c r="D199" s="20" t="s">
        <v>512</v>
      </c>
      <c r="E199" s="15">
        <f>0</f>
        <v>0</v>
      </c>
      <c r="F199" s="15">
        <f>0</f>
        <v>0</v>
      </c>
      <c r="G199" s="15" t="s">
        <v>513</v>
      </c>
      <c r="H199" s="15">
        <f>0</f>
        <v>0</v>
      </c>
    </row>
    <row r="200" spans="1:8" ht="38.25" x14ac:dyDescent="0.25">
      <c r="A200" s="8"/>
      <c r="B200" s="6"/>
      <c r="C200" s="21" t="s">
        <v>475</v>
      </c>
      <c r="D200" s="20" t="s">
        <v>514</v>
      </c>
      <c r="E200" s="15">
        <f>70.6</f>
        <v>70.599999999999994</v>
      </c>
      <c r="F200" s="15">
        <f>70.58</f>
        <v>70.58</v>
      </c>
      <c r="G200" s="15" t="s">
        <v>446</v>
      </c>
      <c r="H200" s="15">
        <f>70.58</f>
        <v>70.58</v>
      </c>
    </row>
    <row r="201" spans="1:8" ht="51" x14ac:dyDescent="0.25">
      <c r="A201" s="8"/>
      <c r="B201" s="6"/>
      <c r="C201" s="21" t="s">
        <v>477</v>
      </c>
      <c r="D201" s="20" t="s">
        <v>515</v>
      </c>
      <c r="E201" s="15">
        <f>0</f>
        <v>0</v>
      </c>
      <c r="F201" s="15">
        <f>0</f>
        <v>0</v>
      </c>
      <c r="G201" s="15" t="s">
        <v>513</v>
      </c>
      <c r="H201" s="15">
        <f>0</f>
        <v>0</v>
      </c>
    </row>
    <row r="202" spans="1:8" ht="38.25" x14ac:dyDescent="0.25">
      <c r="A202" s="8"/>
      <c r="B202" s="6"/>
      <c r="C202" s="21" t="s">
        <v>479</v>
      </c>
      <c r="D202" s="20" t="s">
        <v>516</v>
      </c>
      <c r="E202" s="15">
        <f>0</f>
        <v>0</v>
      </c>
      <c r="F202" s="15">
        <f>0</f>
        <v>0</v>
      </c>
      <c r="G202" s="15" t="s">
        <v>517</v>
      </c>
      <c r="H202" s="15">
        <f>0</f>
        <v>0</v>
      </c>
    </row>
    <row r="203" spans="1:8" ht="51" x14ac:dyDescent="0.25">
      <c r="A203" s="8"/>
      <c r="B203" s="6"/>
      <c r="C203" s="20" t="s">
        <v>70</v>
      </c>
      <c r="D203" s="20" t="s">
        <v>518</v>
      </c>
      <c r="E203" s="15">
        <f>E204+E205+E206+E207+E208+E209</f>
        <v>23684.329999999998</v>
      </c>
      <c r="F203" s="15">
        <f>F204+F205+F206+F207+F208+F209</f>
        <v>23684.21</v>
      </c>
      <c r="G203" s="15" t="s">
        <v>446</v>
      </c>
      <c r="H203" s="15">
        <f>H204+H205+H206+H207+H208+H209</f>
        <v>23684.21</v>
      </c>
    </row>
    <row r="204" spans="1:8" ht="38.25" x14ac:dyDescent="0.25">
      <c r="A204" s="8"/>
      <c r="B204" s="6"/>
      <c r="C204" s="21" t="s">
        <v>380</v>
      </c>
      <c r="D204" s="20" t="s">
        <v>519</v>
      </c>
      <c r="E204" s="15">
        <f>22637.5</f>
        <v>22637.5</v>
      </c>
      <c r="F204" s="15">
        <f>22637.5</f>
        <v>22637.5</v>
      </c>
      <c r="G204" s="15" t="s">
        <v>446</v>
      </c>
      <c r="H204" s="15">
        <f>22637.5</f>
        <v>22637.5</v>
      </c>
    </row>
    <row r="205" spans="1:8" ht="51" x14ac:dyDescent="0.25">
      <c r="A205" s="8"/>
      <c r="B205" s="6"/>
      <c r="C205" s="21" t="s">
        <v>382</v>
      </c>
      <c r="D205" s="20" t="s">
        <v>520</v>
      </c>
      <c r="E205" s="15">
        <f>0</f>
        <v>0</v>
      </c>
      <c r="F205" s="15">
        <f>0</f>
        <v>0</v>
      </c>
      <c r="G205" s="15" t="s">
        <v>18</v>
      </c>
      <c r="H205" s="15">
        <f>0</f>
        <v>0</v>
      </c>
    </row>
    <row r="206" spans="1:8" ht="26.25" customHeight="1" x14ac:dyDescent="0.25">
      <c r="A206" s="8"/>
      <c r="B206" s="6"/>
      <c r="C206" s="21" t="s">
        <v>521</v>
      </c>
      <c r="D206" s="20" t="s">
        <v>522</v>
      </c>
      <c r="E206" s="15">
        <f>0</f>
        <v>0</v>
      </c>
      <c r="F206" s="15">
        <f>0</f>
        <v>0</v>
      </c>
      <c r="G206" s="15" t="s">
        <v>18</v>
      </c>
      <c r="H206" s="15">
        <f>0</f>
        <v>0</v>
      </c>
    </row>
    <row r="207" spans="1:8" ht="229.5" x14ac:dyDescent="0.25">
      <c r="A207" s="8"/>
      <c r="B207" s="6"/>
      <c r="C207" s="21" t="s">
        <v>523</v>
      </c>
      <c r="D207" s="20" t="s">
        <v>524</v>
      </c>
      <c r="E207" s="15">
        <f>673.24</f>
        <v>673.24</v>
      </c>
      <c r="F207" s="15">
        <f>673.24</f>
        <v>673.24</v>
      </c>
      <c r="G207" s="15" t="s">
        <v>446</v>
      </c>
      <c r="H207" s="15">
        <f>673.24</f>
        <v>673.24</v>
      </c>
    </row>
    <row r="208" spans="1:8" ht="114.75" x14ac:dyDescent="0.25">
      <c r="A208" s="8"/>
      <c r="B208" s="6"/>
      <c r="C208" s="21" t="s">
        <v>525</v>
      </c>
      <c r="D208" s="20" t="s">
        <v>526</v>
      </c>
      <c r="E208" s="15">
        <f>52.92</f>
        <v>52.92</v>
      </c>
      <c r="F208" s="15">
        <f>52.8</f>
        <v>52.8</v>
      </c>
      <c r="G208" s="15" t="s">
        <v>527</v>
      </c>
      <c r="H208" s="15">
        <f>52.8</f>
        <v>52.8</v>
      </c>
    </row>
    <row r="209" spans="1:8" ht="38.25" x14ac:dyDescent="0.25">
      <c r="A209" s="8"/>
      <c r="B209" s="6"/>
      <c r="C209" s="21" t="s">
        <v>528</v>
      </c>
      <c r="D209" s="20" t="s">
        <v>529</v>
      </c>
      <c r="E209" s="15">
        <f>320.67</f>
        <v>320.67</v>
      </c>
      <c r="F209" s="15">
        <f>320.67</f>
        <v>320.67</v>
      </c>
      <c r="G209" s="15" t="s">
        <v>446</v>
      </c>
      <c r="H209" s="15">
        <f>320.67</f>
        <v>320.67</v>
      </c>
    </row>
    <row r="210" spans="1:8" ht="51" x14ac:dyDescent="0.25">
      <c r="A210" s="8"/>
      <c r="B210" s="6"/>
      <c r="C210" s="19" t="s">
        <v>63</v>
      </c>
      <c r="D210" s="19" t="s">
        <v>530</v>
      </c>
      <c r="E210" s="14">
        <f>E211+E214+E218</f>
        <v>1641.1999999999998</v>
      </c>
      <c r="F210" s="14">
        <f>F211+F214+F218</f>
        <v>1641.1299999999999</v>
      </c>
      <c r="G210" s="14" t="s">
        <v>446</v>
      </c>
      <c r="H210" s="14">
        <f>H211+H214+H218</f>
        <v>1641.1299999999999</v>
      </c>
    </row>
    <row r="211" spans="1:8" ht="51" x14ac:dyDescent="0.25">
      <c r="A211" s="8"/>
      <c r="B211" s="6"/>
      <c r="C211" s="20" t="s">
        <v>12</v>
      </c>
      <c r="D211" s="20" t="s">
        <v>531</v>
      </c>
      <c r="E211" s="15">
        <f>E212+E213</f>
        <v>0</v>
      </c>
      <c r="F211" s="15">
        <f>F212+F213</f>
        <v>0</v>
      </c>
      <c r="G211" s="15" t="s">
        <v>532</v>
      </c>
      <c r="H211" s="15">
        <f>H212+H213</f>
        <v>0</v>
      </c>
    </row>
    <row r="212" spans="1:8" ht="51" x14ac:dyDescent="0.25">
      <c r="A212" s="8"/>
      <c r="B212" s="6"/>
      <c r="C212" s="21" t="s">
        <v>26</v>
      </c>
      <c r="D212" s="20" t="s">
        <v>533</v>
      </c>
      <c r="E212" s="15">
        <f>0</f>
        <v>0</v>
      </c>
      <c r="F212" s="15">
        <f>0</f>
        <v>0</v>
      </c>
      <c r="G212" s="15" t="s">
        <v>532</v>
      </c>
      <c r="H212" s="15">
        <f>0</f>
        <v>0</v>
      </c>
    </row>
    <row r="213" spans="1:8" ht="51" x14ac:dyDescent="0.25">
      <c r="A213" s="8"/>
      <c r="B213" s="6"/>
      <c r="C213" s="21" t="s">
        <v>28</v>
      </c>
      <c r="D213" s="20" t="s">
        <v>534</v>
      </c>
      <c r="E213" s="15">
        <f>0</f>
        <v>0</v>
      </c>
      <c r="F213" s="15">
        <f>0</f>
        <v>0</v>
      </c>
      <c r="G213" s="15" t="s">
        <v>532</v>
      </c>
      <c r="H213" s="15">
        <f>0</f>
        <v>0</v>
      </c>
    </row>
    <row r="214" spans="1:8" ht="38.25" x14ac:dyDescent="0.25">
      <c r="A214" s="8"/>
      <c r="B214" s="6"/>
      <c r="C214" s="20" t="s">
        <v>14</v>
      </c>
      <c r="D214" s="20" t="s">
        <v>535</v>
      </c>
      <c r="E214" s="15">
        <f>E215+E216+E217</f>
        <v>1641.1999999999998</v>
      </c>
      <c r="F214" s="15">
        <f>F215+F216+F217</f>
        <v>1641.1299999999999</v>
      </c>
      <c r="G214" s="15" t="s">
        <v>446</v>
      </c>
      <c r="H214" s="15">
        <f>H215+H216+H217</f>
        <v>1641.1299999999999</v>
      </c>
    </row>
    <row r="215" spans="1:8" ht="38.25" x14ac:dyDescent="0.25">
      <c r="A215" s="8"/>
      <c r="B215" s="6"/>
      <c r="C215" s="21" t="s">
        <v>33</v>
      </c>
      <c r="D215" s="20" t="s">
        <v>536</v>
      </c>
      <c r="E215" s="15">
        <f>475.2</f>
        <v>475.2</v>
      </c>
      <c r="F215" s="15">
        <f>475.2</f>
        <v>475.2</v>
      </c>
      <c r="G215" s="15" t="s">
        <v>446</v>
      </c>
      <c r="H215" s="15">
        <f>475.2</f>
        <v>475.2</v>
      </c>
    </row>
    <row r="216" spans="1:8" ht="51" x14ac:dyDescent="0.25">
      <c r="A216" s="8"/>
      <c r="B216" s="6"/>
      <c r="C216" s="21" t="s">
        <v>35</v>
      </c>
      <c r="D216" s="20" t="s">
        <v>537</v>
      </c>
      <c r="E216" s="15">
        <f>831.6</f>
        <v>831.6</v>
      </c>
      <c r="F216" s="15">
        <f>831.6</f>
        <v>831.6</v>
      </c>
      <c r="G216" s="15" t="s">
        <v>446</v>
      </c>
      <c r="H216" s="15">
        <f>831.6</f>
        <v>831.6</v>
      </c>
    </row>
    <row r="217" spans="1:8" ht="76.5" x14ac:dyDescent="0.25">
      <c r="A217" s="8"/>
      <c r="B217" s="6"/>
      <c r="C217" s="21" t="s">
        <v>276</v>
      </c>
      <c r="D217" s="20" t="s">
        <v>538</v>
      </c>
      <c r="E217" s="15">
        <f>334.4</f>
        <v>334.4</v>
      </c>
      <c r="F217" s="15">
        <f>334.33</f>
        <v>334.33</v>
      </c>
      <c r="G217" s="15" t="s">
        <v>446</v>
      </c>
      <c r="H217" s="15">
        <f>334.33</f>
        <v>334.33</v>
      </c>
    </row>
    <row r="218" spans="1:8" ht="51" x14ac:dyDescent="0.25">
      <c r="A218" s="8"/>
      <c r="B218" s="6"/>
      <c r="C218" s="20" t="s">
        <v>16</v>
      </c>
      <c r="D218" s="20" t="s">
        <v>539</v>
      </c>
      <c r="E218" s="15">
        <f>E219+E220</f>
        <v>0</v>
      </c>
      <c r="F218" s="15">
        <f>F219+F220</f>
        <v>0</v>
      </c>
      <c r="G218" s="15" t="s">
        <v>532</v>
      </c>
      <c r="H218" s="15">
        <f>H219+H220</f>
        <v>0</v>
      </c>
    </row>
    <row r="219" spans="1:8" ht="76.5" x14ac:dyDescent="0.25">
      <c r="A219" s="8"/>
      <c r="B219" s="6"/>
      <c r="C219" s="21" t="s">
        <v>38</v>
      </c>
      <c r="D219" s="20" t="s">
        <v>540</v>
      </c>
      <c r="E219" s="15">
        <f>0</f>
        <v>0</v>
      </c>
      <c r="F219" s="15">
        <f>0</f>
        <v>0</v>
      </c>
      <c r="G219" s="15" t="s">
        <v>532</v>
      </c>
      <c r="H219" s="15">
        <f>0</f>
        <v>0</v>
      </c>
    </row>
    <row r="220" spans="1:8" ht="51" x14ac:dyDescent="0.25">
      <c r="A220" s="8"/>
      <c r="B220" s="6"/>
      <c r="C220" s="21" t="s">
        <v>40</v>
      </c>
      <c r="D220" s="20" t="s">
        <v>541</v>
      </c>
      <c r="E220" s="15">
        <f>0</f>
        <v>0</v>
      </c>
      <c r="F220" s="15">
        <f>0</f>
        <v>0</v>
      </c>
      <c r="G220" s="15" t="s">
        <v>532</v>
      </c>
      <c r="H220" s="15">
        <f>0</f>
        <v>0</v>
      </c>
    </row>
    <row r="221" spans="1:8" ht="38.25" x14ac:dyDescent="0.25">
      <c r="A221" s="8"/>
      <c r="B221" s="6"/>
      <c r="C221" s="19" t="s">
        <v>82</v>
      </c>
      <c r="D221" s="19" t="s">
        <v>542</v>
      </c>
      <c r="E221" s="14">
        <f>E222+E236+E281+E301+E315</f>
        <v>10866.51</v>
      </c>
      <c r="F221" s="14">
        <f>F222+F236+F281+F301+F315</f>
        <v>10755.84</v>
      </c>
      <c r="G221" s="14" t="s">
        <v>446</v>
      </c>
      <c r="H221" s="14">
        <f>H222+H236+H281+H301+H315</f>
        <v>10755.84</v>
      </c>
    </row>
    <row r="222" spans="1:8" ht="38.25" x14ac:dyDescent="0.25">
      <c r="A222" s="8"/>
      <c r="B222" s="6"/>
      <c r="C222" s="20" t="s">
        <v>12</v>
      </c>
      <c r="D222" s="20" t="s">
        <v>543</v>
      </c>
      <c r="E222" s="15">
        <f>SUM(E223:E235)</f>
        <v>686.45999999999992</v>
      </c>
      <c r="F222" s="15">
        <f>SUM(F223:F235)</f>
        <v>634.23</v>
      </c>
      <c r="G222" s="15" t="s">
        <v>544</v>
      </c>
      <c r="H222" s="15">
        <f>SUM(H223:H235)</f>
        <v>634.23</v>
      </c>
    </row>
    <row r="223" spans="1:8" ht="51" x14ac:dyDescent="0.25">
      <c r="A223" s="8"/>
      <c r="B223" s="6"/>
      <c r="C223" s="21" t="s">
        <v>26</v>
      </c>
      <c r="D223" s="20" t="s">
        <v>545</v>
      </c>
      <c r="E223" s="15">
        <f>0</f>
        <v>0</v>
      </c>
      <c r="F223" s="15">
        <f>0</f>
        <v>0</v>
      </c>
      <c r="G223" s="15" t="s">
        <v>532</v>
      </c>
      <c r="H223" s="15">
        <f>0</f>
        <v>0</v>
      </c>
    </row>
    <row r="224" spans="1:8" ht="89.25" x14ac:dyDescent="0.25">
      <c r="A224" s="8"/>
      <c r="B224" s="6"/>
      <c r="C224" s="21" t="s">
        <v>28</v>
      </c>
      <c r="D224" s="20" t="s">
        <v>546</v>
      </c>
      <c r="E224" s="15">
        <f>0</f>
        <v>0</v>
      </c>
      <c r="F224" s="15">
        <f>0</f>
        <v>0</v>
      </c>
      <c r="G224" s="15" t="s">
        <v>532</v>
      </c>
      <c r="H224" s="15">
        <f>0</f>
        <v>0</v>
      </c>
    </row>
    <row r="225" spans="1:8" ht="51" x14ac:dyDescent="0.25">
      <c r="A225" s="8"/>
      <c r="B225" s="6"/>
      <c r="C225" s="21" t="s">
        <v>30</v>
      </c>
      <c r="D225" s="20" t="s">
        <v>547</v>
      </c>
      <c r="E225" s="15">
        <f>0</f>
        <v>0</v>
      </c>
      <c r="F225" s="15">
        <f>0</f>
        <v>0</v>
      </c>
      <c r="G225" s="15" t="s">
        <v>532</v>
      </c>
      <c r="H225" s="15">
        <f>0</f>
        <v>0</v>
      </c>
    </row>
    <row r="226" spans="1:8" ht="51" x14ac:dyDescent="0.25">
      <c r="A226" s="8"/>
      <c r="B226" s="6"/>
      <c r="C226" s="21" t="s">
        <v>87</v>
      </c>
      <c r="D226" s="20" t="s">
        <v>548</v>
      </c>
      <c r="E226" s="15">
        <f>0</f>
        <v>0</v>
      </c>
      <c r="F226" s="15">
        <f>0</f>
        <v>0</v>
      </c>
      <c r="G226" s="15" t="s">
        <v>532</v>
      </c>
      <c r="H226" s="15">
        <f>0</f>
        <v>0</v>
      </c>
    </row>
    <row r="227" spans="1:8" ht="38.25" x14ac:dyDescent="0.25">
      <c r="A227" s="8"/>
      <c r="B227" s="6"/>
      <c r="C227" s="21" t="s">
        <v>89</v>
      </c>
      <c r="D227" s="20" t="s">
        <v>549</v>
      </c>
      <c r="E227" s="15">
        <f>90</f>
        <v>90</v>
      </c>
      <c r="F227" s="15">
        <f>37.87</f>
        <v>37.869999999999997</v>
      </c>
      <c r="G227" s="15" t="s">
        <v>550</v>
      </c>
      <c r="H227" s="15">
        <f>37.87</f>
        <v>37.869999999999997</v>
      </c>
    </row>
    <row r="228" spans="1:8" ht="76.5" x14ac:dyDescent="0.25">
      <c r="A228" s="8"/>
      <c r="B228" s="6"/>
      <c r="C228" s="21" t="s">
        <v>98</v>
      </c>
      <c r="D228" s="20" t="s">
        <v>551</v>
      </c>
      <c r="E228" s="15">
        <f>0</f>
        <v>0</v>
      </c>
      <c r="F228" s="15">
        <f>0</f>
        <v>0</v>
      </c>
      <c r="G228" s="15" t="s">
        <v>532</v>
      </c>
      <c r="H228" s="15">
        <f>0</f>
        <v>0</v>
      </c>
    </row>
    <row r="229" spans="1:8" ht="63.75" x14ac:dyDescent="0.25">
      <c r="A229" s="8"/>
      <c r="B229" s="6"/>
      <c r="C229" s="21" t="s">
        <v>100</v>
      </c>
      <c r="D229" s="20" t="s">
        <v>552</v>
      </c>
      <c r="E229" s="15">
        <f>526.16</f>
        <v>526.16</v>
      </c>
      <c r="F229" s="15">
        <f>526.16</f>
        <v>526.16</v>
      </c>
      <c r="G229" s="15" t="s">
        <v>446</v>
      </c>
      <c r="H229" s="15">
        <f>526.16</f>
        <v>526.16</v>
      </c>
    </row>
    <row r="230" spans="1:8" ht="51" x14ac:dyDescent="0.25">
      <c r="A230" s="8"/>
      <c r="B230" s="6"/>
      <c r="C230" s="21" t="s">
        <v>102</v>
      </c>
      <c r="D230" s="20" t="s">
        <v>553</v>
      </c>
      <c r="E230" s="15">
        <f>0</f>
        <v>0</v>
      </c>
      <c r="F230" s="15">
        <f>0</f>
        <v>0</v>
      </c>
      <c r="G230" s="15" t="s">
        <v>18</v>
      </c>
      <c r="H230" s="15">
        <f>0</f>
        <v>0</v>
      </c>
    </row>
    <row r="231" spans="1:8" ht="51" x14ac:dyDescent="0.25">
      <c r="A231" s="8"/>
      <c r="B231" s="6"/>
      <c r="C231" s="21" t="s">
        <v>104</v>
      </c>
      <c r="D231" s="20" t="s">
        <v>554</v>
      </c>
      <c r="E231" s="15">
        <f>0</f>
        <v>0</v>
      </c>
      <c r="F231" s="15">
        <f>0</f>
        <v>0</v>
      </c>
      <c r="G231" s="15" t="s">
        <v>18</v>
      </c>
      <c r="H231" s="15">
        <f>0</f>
        <v>0</v>
      </c>
    </row>
    <row r="232" spans="1:8" ht="76.5" x14ac:dyDescent="0.25">
      <c r="A232" s="8"/>
      <c r="B232" s="6"/>
      <c r="C232" s="21" t="s">
        <v>106</v>
      </c>
      <c r="D232" s="20" t="s">
        <v>555</v>
      </c>
      <c r="E232" s="15">
        <f>0</f>
        <v>0</v>
      </c>
      <c r="F232" s="15">
        <f>0</f>
        <v>0</v>
      </c>
      <c r="G232" s="15" t="s">
        <v>18</v>
      </c>
      <c r="H232" s="15">
        <f>0</f>
        <v>0</v>
      </c>
    </row>
    <row r="233" spans="1:8" ht="76.5" x14ac:dyDescent="0.25">
      <c r="A233" s="8"/>
      <c r="B233" s="6"/>
      <c r="C233" s="21" t="s">
        <v>108</v>
      </c>
      <c r="D233" s="20" t="s">
        <v>556</v>
      </c>
      <c r="E233" s="15">
        <f>0</f>
        <v>0</v>
      </c>
      <c r="F233" s="15">
        <f>0</f>
        <v>0</v>
      </c>
      <c r="G233" s="15" t="s">
        <v>18</v>
      </c>
      <c r="H233" s="15">
        <f>0</f>
        <v>0</v>
      </c>
    </row>
    <row r="234" spans="1:8" ht="76.5" x14ac:dyDescent="0.25">
      <c r="A234" s="8"/>
      <c r="B234" s="6"/>
      <c r="C234" s="21" t="s">
        <v>110</v>
      </c>
      <c r="D234" s="20" t="s">
        <v>557</v>
      </c>
      <c r="E234" s="15">
        <f>70.3</f>
        <v>70.3</v>
      </c>
      <c r="F234" s="15">
        <f>70.2</f>
        <v>70.2</v>
      </c>
      <c r="G234" s="15" t="s">
        <v>558</v>
      </c>
      <c r="H234" s="15">
        <f>70.2</f>
        <v>70.2</v>
      </c>
    </row>
    <row r="235" spans="1:8" ht="51" x14ac:dyDescent="0.25">
      <c r="A235" s="8"/>
      <c r="B235" s="6"/>
      <c r="C235" s="21" t="s">
        <v>112</v>
      </c>
      <c r="D235" s="20" t="s">
        <v>559</v>
      </c>
      <c r="E235" s="15">
        <f>0</f>
        <v>0</v>
      </c>
      <c r="F235" s="15">
        <f>0</f>
        <v>0</v>
      </c>
      <c r="G235" s="15" t="s">
        <v>18</v>
      </c>
      <c r="H235" s="15">
        <f>0</f>
        <v>0</v>
      </c>
    </row>
    <row r="236" spans="1:8" ht="38.25" x14ac:dyDescent="0.25">
      <c r="A236" s="8"/>
      <c r="B236" s="6"/>
      <c r="C236" s="20" t="s">
        <v>14</v>
      </c>
      <c r="D236" s="20" t="s">
        <v>560</v>
      </c>
      <c r="E236" s="15">
        <f>SUM(E237:E280)</f>
        <v>2091.25</v>
      </c>
      <c r="F236" s="15">
        <f>SUM(F237:F280)</f>
        <v>2091.2400000000002</v>
      </c>
      <c r="G236" s="15" t="s">
        <v>446</v>
      </c>
      <c r="H236" s="15">
        <f>SUM(H237:H280)</f>
        <v>2091.2400000000002</v>
      </c>
    </row>
    <row r="237" spans="1:8" ht="51" x14ac:dyDescent="0.25">
      <c r="A237" s="8"/>
      <c r="B237" s="6"/>
      <c r="C237" s="21" t="s">
        <v>33</v>
      </c>
      <c r="D237" s="20" t="s">
        <v>561</v>
      </c>
      <c r="E237" s="15">
        <f>96.6</f>
        <v>96.6</v>
      </c>
      <c r="F237" s="15">
        <f>96.59</f>
        <v>96.59</v>
      </c>
      <c r="G237" s="15" t="s">
        <v>446</v>
      </c>
      <c r="H237" s="15">
        <f>96.59</f>
        <v>96.59</v>
      </c>
    </row>
    <row r="238" spans="1:8" ht="89.25" x14ac:dyDescent="0.25">
      <c r="A238" s="8"/>
      <c r="B238" s="6"/>
      <c r="C238" s="21" t="s">
        <v>35</v>
      </c>
      <c r="D238" s="20" t="s">
        <v>562</v>
      </c>
      <c r="E238" s="15">
        <f>110.4</f>
        <v>110.4</v>
      </c>
      <c r="F238" s="15">
        <f>110.4</f>
        <v>110.4</v>
      </c>
      <c r="G238" s="15" t="s">
        <v>446</v>
      </c>
      <c r="H238" s="15">
        <f>110.4</f>
        <v>110.4</v>
      </c>
    </row>
    <row r="239" spans="1:8" ht="76.5" x14ac:dyDescent="0.25">
      <c r="A239" s="8"/>
      <c r="B239" s="6"/>
      <c r="C239" s="21" t="s">
        <v>276</v>
      </c>
      <c r="D239" s="20" t="s">
        <v>563</v>
      </c>
      <c r="E239" s="15">
        <f>653.4</f>
        <v>653.4</v>
      </c>
      <c r="F239" s="15">
        <f>653.4</f>
        <v>653.4</v>
      </c>
      <c r="G239" s="15" t="s">
        <v>446</v>
      </c>
      <c r="H239" s="15">
        <f>653.4</f>
        <v>653.4</v>
      </c>
    </row>
    <row r="240" spans="1:8" ht="76.5" x14ac:dyDescent="0.25">
      <c r="A240" s="8"/>
      <c r="B240" s="6"/>
      <c r="C240" s="21" t="s">
        <v>278</v>
      </c>
      <c r="D240" s="20" t="s">
        <v>564</v>
      </c>
      <c r="E240" s="15">
        <f>52.8</f>
        <v>52.8</v>
      </c>
      <c r="F240" s="15">
        <f>52.8</f>
        <v>52.8</v>
      </c>
      <c r="G240" s="15" t="s">
        <v>446</v>
      </c>
      <c r="H240" s="15">
        <f>52.8</f>
        <v>52.8</v>
      </c>
    </row>
    <row r="241" spans="1:8" ht="76.5" x14ac:dyDescent="0.25">
      <c r="A241" s="8"/>
      <c r="B241" s="6"/>
      <c r="C241" s="21" t="s">
        <v>458</v>
      </c>
      <c r="D241" s="20" t="s">
        <v>565</v>
      </c>
      <c r="E241" s="15">
        <f>13.2</f>
        <v>13.2</v>
      </c>
      <c r="F241" s="15">
        <f>13.2</f>
        <v>13.2</v>
      </c>
      <c r="G241" s="15" t="s">
        <v>446</v>
      </c>
      <c r="H241" s="15">
        <f>13.2</f>
        <v>13.2</v>
      </c>
    </row>
    <row r="242" spans="1:8" ht="63.75" x14ac:dyDescent="0.25">
      <c r="A242" s="8"/>
      <c r="B242" s="6"/>
      <c r="C242" s="21" t="s">
        <v>460</v>
      </c>
      <c r="D242" s="20" t="s">
        <v>566</v>
      </c>
      <c r="E242" s="15">
        <f>0</f>
        <v>0</v>
      </c>
      <c r="F242" s="15">
        <f>0</f>
        <v>0</v>
      </c>
      <c r="G242" s="15" t="s">
        <v>18</v>
      </c>
      <c r="H242" s="15">
        <f>0</f>
        <v>0</v>
      </c>
    </row>
    <row r="243" spans="1:8" ht="51" x14ac:dyDescent="0.25">
      <c r="A243" s="8"/>
      <c r="B243" s="6"/>
      <c r="C243" s="21" t="s">
        <v>462</v>
      </c>
      <c r="D243" s="20" t="s">
        <v>567</v>
      </c>
      <c r="E243" s="15">
        <f>66</f>
        <v>66</v>
      </c>
      <c r="F243" s="15">
        <f>66</f>
        <v>66</v>
      </c>
      <c r="G243" s="15" t="s">
        <v>446</v>
      </c>
      <c r="H243" s="15">
        <f>66</f>
        <v>66</v>
      </c>
    </row>
    <row r="244" spans="1:8" ht="51" x14ac:dyDescent="0.25">
      <c r="A244" s="8"/>
      <c r="B244" s="6"/>
      <c r="C244" s="21" t="s">
        <v>568</v>
      </c>
      <c r="D244" s="20" t="s">
        <v>569</v>
      </c>
      <c r="E244" s="15">
        <f>0</f>
        <v>0</v>
      </c>
      <c r="F244" s="15">
        <f>0</f>
        <v>0</v>
      </c>
      <c r="G244" s="15" t="s">
        <v>18</v>
      </c>
      <c r="H244" s="15">
        <f>0</f>
        <v>0</v>
      </c>
    </row>
    <row r="245" spans="1:8" ht="63.75" x14ac:dyDescent="0.25">
      <c r="A245" s="8"/>
      <c r="B245" s="6"/>
      <c r="C245" s="21" t="s">
        <v>570</v>
      </c>
      <c r="D245" s="20" t="s">
        <v>571</v>
      </c>
      <c r="E245" s="15">
        <f>0</f>
        <v>0</v>
      </c>
      <c r="F245" s="15">
        <f>0</f>
        <v>0</v>
      </c>
      <c r="G245" s="15" t="s">
        <v>18</v>
      </c>
      <c r="H245" s="15">
        <f>0</f>
        <v>0</v>
      </c>
    </row>
    <row r="246" spans="1:8" ht="51" x14ac:dyDescent="0.25">
      <c r="A246" s="8"/>
      <c r="B246" s="6"/>
      <c r="C246" s="21" t="s">
        <v>572</v>
      </c>
      <c r="D246" s="20" t="s">
        <v>573</v>
      </c>
      <c r="E246" s="15">
        <f>81.6</f>
        <v>81.599999999999994</v>
      </c>
      <c r="F246" s="15">
        <f>81.6</f>
        <v>81.599999999999994</v>
      </c>
      <c r="G246" s="15" t="s">
        <v>446</v>
      </c>
      <c r="H246" s="15">
        <f>81.6</f>
        <v>81.599999999999994</v>
      </c>
    </row>
    <row r="247" spans="1:8" ht="51" x14ac:dyDescent="0.25">
      <c r="A247" s="8"/>
      <c r="B247" s="6"/>
      <c r="C247" s="21" t="s">
        <v>574</v>
      </c>
      <c r="D247" s="20" t="s">
        <v>575</v>
      </c>
      <c r="E247" s="15">
        <f>0</f>
        <v>0</v>
      </c>
      <c r="F247" s="15">
        <f>0</f>
        <v>0</v>
      </c>
      <c r="G247" s="15" t="s">
        <v>18</v>
      </c>
      <c r="H247" s="15">
        <f>0</f>
        <v>0</v>
      </c>
    </row>
    <row r="248" spans="1:8" ht="51" x14ac:dyDescent="0.25">
      <c r="A248" s="8"/>
      <c r="B248" s="6"/>
      <c r="C248" s="21" t="s">
        <v>576</v>
      </c>
      <c r="D248" s="20" t="s">
        <v>577</v>
      </c>
      <c r="E248" s="15">
        <f>0</f>
        <v>0</v>
      </c>
      <c r="F248" s="15">
        <f>0</f>
        <v>0</v>
      </c>
      <c r="G248" s="15" t="s">
        <v>18</v>
      </c>
      <c r="H248" s="15">
        <f>0</f>
        <v>0</v>
      </c>
    </row>
    <row r="249" spans="1:8" ht="51" x14ac:dyDescent="0.25">
      <c r="A249" s="8"/>
      <c r="B249" s="6"/>
      <c r="C249" s="21" t="s">
        <v>578</v>
      </c>
      <c r="D249" s="20" t="s">
        <v>579</v>
      </c>
      <c r="E249" s="15">
        <f>0</f>
        <v>0</v>
      </c>
      <c r="F249" s="15">
        <f>0</f>
        <v>0</v>
      </c>
      <c r="G249" s="15" t="s">
        <v>18</v>
      </c>
      <c r="H249" s="15">
        <f>0</f>
        <v>0</v>
      </c>
    </row>
    <row r="250" spans="1:8" ht="51" x14ac:dyDescent="0.25">
      <c r="A250" s="8"/>
      <c r="B250" s="6"/>
      <c r="C250" s="21" t="s">
        <v>580</v>
      </c>
      <c r="D250" s="20" t="s">
        <v>581</v>
      </c>
      <c r="E250" s="15">
        <f>0</f>
        <v>0</v>
      </c>
      <c r="F250" s="15">
        <f>0</f>
        <v>0</v>
      </c>
      <c r="G250" s="15" t="s">
        <v>18</v>
      </c>
      <c r="H250" s="15">
        <f>0</f>
        <v>0</v>
      </c>
    </row>
    <row r="251" spans="1:8" ht="76.5" x14ac:dyDescent="0.25">
      <c r="A251" s="8"/>
      <c r="B251" s="6"/>
      <c r="C251" s="21" t="s">
        <v>582</v>
      </c>
      <c r="D251" s="20" t="s">
        <v>583</v>
      </c>
      <c r="E251" s="15">
        <f>0</f>
        <v>0</v>
      </c>
      <c r="F251" s="15">
        <f>0</f>
        <v>0</v>
      </c>
      <c r="G251" s="15" t="s">
        <v>18</v>
      </c>
      <c r="H251" s="15">
        <f>0</f>
        <v>0</v>
      </c>
    </row>
    <row r="252" spans="1:8" ht="51" x14ac:dyDescent="0.25">
      <c r="A252" s="8"/>
      <c r="B252" s="6"/>
      <c r="C252" s="21" t="s">
        <v>584</v>
      </c>
      <c r="D252" s="20" t="s">
        <v>585</v>
      </c>
      <c r="E252" s="15">
        <f>0</f>
        <v>0</v>
      </c>
      <c r="F252" s="15">
        <f>0</f>
        <v>0</v>
      </c>
      <c r="G252" s="15" t="s">
        <v>18</v>
      </c>
      <c r="H252" s="15">
        <f>0</f>
        <v>0</v>
      </c>
    </row>
    <row r="253" spans="1:8" ht="63.75" x14ac:dyDescent="0.25">
      <c r="A253" s="8"/>
      <c r="B253" s="6"/>
      <c r="C253" s="21" t="s">
        <v>586</v>
      </c>
      <c r="D253" s="20" t="s">
        <v>587</v>
      </c>
      <c r="E253" s="15">
        <f>0</f>
        <v>0</v>
      </c>
      <c r="F253" s="15">
        <f>0</f>
        <v>0</v>
      </c>
      <c r="G253" s="15" t="s">
        <v>18</v>
      </c>
      <c r="H253" s="15">
        <f>0</f>
        <v>0</v>
      </c>
    </row>
    <row r="254" spans="1:8" ht="51" x14ac:dyDescent="0.25">
      <c r="A254" s="8"/>
      <c r="B254" s="6"/>
      <c r="C254" s="21" t="s">
        <v>588</v>
      </c>
      <c r="D254" s="20" t="s">
        <v>589</v>
      </c>
      <c r="E254" s="15">
        <f>36</f>
        <v>36</v>
      </c>
      <c r="F254" s="15">
        <f>36</f>
        <v>36</v>
      </c>
      <c r="G254" s="15" t="s">
        <v>446</v>
      </c>
      <c r="H254" s="15">
        <f>36</f>
        <v>36</v>
      </c>
    </row>
    <row r="255" spans="1:8" ht="51" x14ac:dyDescent="0.25">
      <c r="A255" s="8"/>
      <c r="B255" s="6"/>
      <c r="C255" s="21" t="s">
        <v>590</v>
      </c>
      <c r="D255" s="20" t="s">
        <v>591</v>
      </c>
      <c r="E255" s="15">
        <f>0</f>
        <v>0</v>
      </c>
      <c r="F255" s="15">
        <f>0</f>
        <v>0</v>
      </c>
      <c r="G255" s="15" t="s">
        <v>18</v>
      </c>
      <c r="H255" s="15">
        <f>0</f>
        <v>0</v>
      </c>
    </row>
    <row r="256" spans="1:8" ht="38.25" x14ac:dyDescent="0.25">
      <c r="A256" s="8"/>
      <c r="B256" s="6"/>
      <c r="C256" s="21" t="s">
        <v>592</v>
      </c>
      <c r="D256" s="20" t="s">
        <v>593</v>
      </c>
      <c r="E256" s="15">
        <f>4.45</f>
        <v>4.45</v>
      </c>
      <c r="F256" s="15">
        <f>4.45</f>
        <v>4.45</v>
      </c>
      <c r="G256" s="15" t="s">
        <v>446</v>
      </c>
      <c r="H256" s="15">
        <f>4.45</f>
        <v>4.45</v>
      </c>
    </row>
    <row r="257" spans="1:8" ht="51" x14ac:dyDescent="0.25">
      <c r="A257" s="8"/>
      <c r="B257" s="6"/>
      <c r="C257" s="21" t="s">
        <v>594</v>
      </c>
      <c r="D257" s="20" t="s">
        <v>595</v>
      </c>
      <c r="E257" s="15">
        <f>0</f>
        <v>0</v>
      </c>
      <c r="F257" s="15">
        <f>0</f>
        <v>0</v>
      </c>
      <c r="G257" s="15" t="s">
        <v>18</v>
      </c>
      <c r="H257" s="15">
        <f>0</f>
        <v>0</v>
      </c>
    </row>
    <row r="258" spans="1:8" ht="51" x14ac:dyDescent="0.25">
      <c r="A258" s="8"/>
      <c r="B258" s="6"/>
      <c r="C258" s="21" t="s">
        <v>596</v>
      </c>
      <c r="D258" s="20" t="s">
        <v>597</v>
      </c>
      <c r="E258" s="15">
        <f>0</f>
        <v>0</v>
      </c>
      <c r="F258" s="15">
        <f>0</f>
        <v>0</v>
      </c>
      <c r="G258" s="15" t="s">
        <v>18</v>
      </c>
      <c r="H258" s="15">
        <f>0</f>
        <v>0</v>
      </c>
    </row>
    <row r="259" spans="1:8" ht="51" x14ac:dyDescent="0.25">
      <c r="A259" s="8"/>
      <c r="B259" s="6"/>
      <c r="C259" s="21" t="s">
        <v>598</v>
      </c>
      <c r="D259" s="20" t="s">
        <v>599</v>
      </c>
      <c r="E259" s="15">
        <f>0</f>
        <v>0</v>
      </c>
      <c r="F259" s="15">
        <f>0</f>
        <v>0</v>
      </c>
      <c r="G259" s="15" t="s">
        <v>18</v>
      </c>
      <c r="H259" s="15">
        <f>0</f>
        <v>0</v>
      </c>
    </row>
    <row r="260" spans="1:8" ht="51" x14ac:dyDescent="0.25">
      <c r="A260" s="8"/>
      <c r="B260" s="6"/>
      <c r="C260" s="21" t="s">
        <v>600</v>
      </c>
      <c r="D260" s="20" t="s">
        <v>601</v>
      </c>
      <c r="E260" s="15">
        <f>0</f>
        <v>0</v>
      </c>
      <c r="F260" s="15">
        <f>0</f>
        <v>0</v>
      </c>
      <c r="G260" s="15" t="s">
        <v>18</v>
      </c>
      <c r="H260" s="15">
        <f>0</f>
        <v>0</v>
      </c>
    </row>
    <row r="261" spans="1:8" ht="51" x14ac:dyDescent="0.25">
      <c r="A261" s="8"/>
      <c r="B261" s="6"/>
      <c r="C261" s="21" t="s">
        <v>602</v>
      </c>
      <c r="D261" s="20" t="s">
        <v>603</v>
      </c>
      <c r="E261" s="15">
        <f>0</f>
        <v>0</v>
      </c>
      <c r="F261" s="15">
        <f>0</f>
        <v>0</v>
      </c>
      <c r="G261" s="15" t="s">
        <v>18</v>
      </c>
      <c r="H261" s="15">
        <f>0</f>
        <v>0</v>
      </c>
    </row>
    <row r="262" spans="1:8" ht="51" x14ac:dyDescent="0.25">
      <c r="A262" s="8"/>
      <c r="B262" s="6"/>
      <c r="C262" s="21" t="s">
        <v>604</v>
      </c>
      <c r="D262" s="20" t="s">
        <v>605</v>
      </c>
      <c r="E262" s="15">
        <f>0</f>
        <v>0</v>
      </c>
      <c r="F262" s="15">
        <f>0</f>
        <v>0</v>
      </c>
      <c r="G262" s="15" t="s">
        <v>18</v>
      </c>
      <c r="H262" s="15">
        <f>0</f>
        <v>0</v>
      </c>
    </row>
    <row r="263" spans="1:8" ht="76.5" x14ac:dyDescent="0.25">
      <c r="A263" s="8"/>
      <c r="B263" s="6"/>
      <c r="C263" s="21" t="s">
        <v>606</v>
      </c>
      <c r="D263" s="20" t="s">
        <v>607</v>
      </c>
      <c r="E263" s="15">
        <f>40</f>
        <v>40</v>
      </c>
      <c r="F263" s="15">
        <f>40</f>
        <v>40</v>
      </c>
      <c r="G263" s="15" t="s">
        <v>446</v>
      </c>
      <c r="H263" s="15">
        <f>40</f>
        <v>40</v>
      </c>
    </row>
    <row r="264" spans="1:8" ht="51" x14ac:dyDescent="0.25">
      <c r="A264" s="8"/>
      <c r="B264" s="6"/>
      <c r="C264" s="21" t="s">
        <v>608</v>
      </c>
      <c r="D264" s="20" t="s">
        <v>609</v>
      </c>
      <c r="E264" s="15">
        <f>0</f>
        <v>0</v>
      </c>
      <c r="F264" s="15">
        <f>0</f>
        <v>0</v>
      </c>
      <c r="G264" s="15" t="s">
        <v>18</v>
      </c>
      <c r="H264" s="15">
        <f>0</f>
        <v>0</v>
      </c>
    </row>
    <row r="265" spans="1:8" ht="51" x14ac:dyDescent="0.25">
      <c r="A265" s="8"/>
      <c r="B265" s="6"/>
      <c r="C265" s="21" t="s">
        <v>610</v>
      </c>
      <c r="D265" s="20" t="s">
        <v>611</v>
      </c>
      <c r="E265" s="15">
        <f>51</f>
        <v>51</v>
      </c>
      <c r="F265" s="15">
        <f>51</f>
        <v>51</v>
      </c>
      <c r="G265" s="15" t="s">
        <v>446</v>
      </c>
      <c r="H265" s="15">
        <f>51</f>
        <v>51</v>
      </c>
    </row>
    <row r="266" spans="1:8" ht="51" x14ac:dyDescent="0.25">
      <c r="A266" s="8"/>
      <c r="B266" s="6"/>
      <c r="C266" s="21" t="s">
        <v>612</v>
      </c>
      <c r="D266" s="20" t="s">
        <v>613</v>
      </c>
      <c r="E266" s="15">
        <f>0</f>
        <v>0</v>
      </c>
      <c r="F266" s="15">
        <f>0</f>
        <v>0</v>
      </c>
      <c r="G266" s="15" t="s">
        <v>18</v>
      </c>
      <c r="H266" s="15">
        <f>0</f>
        <v>0</v>
      </c>
    </row>
    <row r="267" spans="1:8" ht="38.25" x14ac:dyDescent="0.25">
      <c r="A267" s="8"/>
      <c r="B267" s="6"/>
      <c r="C267" s="21" t="s">
        <v>614</v>
      </c>
      <c r="D267" s="20" t="s">
        <v>615</v>
      </c>
      <c r="E267" s="15">
        <f>58.8</f>
        <v>58.8</v>
      </c>
      <c r="F267" s="15">
        <f>58.8</f>
        <v>58.8</v>
      </c>
      <c r="G267" s="15" t="s">
        <v>446</v>
      </c>
      <c r="H267" s="15">
        <f>58.8</f>
        <v>58.8</v>
      </c>
    </row>
    <row r="268" spans="1:8" ht="51" x14ac:dyDescent="0.25">
      <c r="A268" s="8"/>
      <c r="B268" s="6"/>
      <c r="C268" s="21" t="s">
        <v>616</v>
      </c>
      <c r="D268" s="20" t="s">
        <v>617</v>
      </c>
      <c r="E268" s="15">
        <f>0</f>
        <v>0</v>
      </c>
      <c r="F268" s="15">
        <f>0</f>
        <v>0</v>
      </c>
      <c r="G268" s="15" t="s">
        <v>18</v>
      </c>
      <c r="H268" s="15">
        <f>0</f>
        <v>0</v>
      </c>
    </row>
    <row r="269" spans="1:8" ht="63.75" x14ac:dyDescent="0.25">
      <c r="A269" s="8"/>
      <c r="B269" s="6"/>
      <c r="C269" s="21" t="s">
        <v>618</v>
      </c>
      <c r="D269" s="20" t="s">
        <v>619</v>
      </c>
      <c r="E269" s="15">
        <f>294</f>
        <v>294</v>
      </c>
      <c r="F269" s="15">
        <f>294</f>
        <v>294</v>
      </c>
      <c r="G269" s="15" t="s">
        <v>446</v>
      </c>
      <c r="H269" s="15">
        <f>294</f>
        <v>294</v>
      </c>
    </row>
    <row r="270" spans="1:8" ht="51" x14ac:dyDescent="0.25">
      <c r="A270" s="8"/>
      <c r="B270" s="6"/>
      <c r="C270" s="21" t="s">
        <v>620</v>
      </c>
      <c r="D270" s="20" t="s">
        <v>621</v>
      </c>
      <c r="E270" s="15">
        <f>0</f>
        <v>0</v>
      </c>
      <c r="F270" s="15">
        <f>0</f>
        <v>0</v>
      </c>
      <c r="G270" s="15" t="s">
        <v>18</v>
      </c>
      <c r="H270" s="15">
        <f>0</f>
        <v>0</v>
      </c>
    </row>
    <row r="271" spans="1:8" ht="51" x14ac:dyDescent="0.25">
      <c r="A271" s="8"/>
      <c r="B271" s="6"/>
      <c r="C271" s="21" t="s">
        <v>622</v>
      </c>
      <c r="D271" s="20" t="s">
        <v>623</v>
      </c>
      <c r="E271" s="15">
        <f>54</f>
        <v>54</v>
      </c>
      <c r="F271" s="15">
        <f>54</f>
        <v>54</v>
      </c>
      <c r="G271" s="15" t="s">
        <v>446</v>
      </c>
      <c r="H271" s="15">
        <f>54</f>
        <v>54</v>
      </c>
    </row>
    <row r="272" spans="1:8" ht="63.75" x14ac:dyDescent="0.25">
      <c r="A272" s="8"/>
      <c r="B272" s="6"/>
      <c r="C272" s="21" t="s">
        <v>624</v>
      </c>
      <c r="D272" s="20" t="s">
        <v>625</v>
      </c>
      <c r="E272" s="15">
        <f>0</f>
        <v>0</v>
      </c>
      <c r="F272" s="15">
        <f>0</f>
        <v>0</v>
      </c>
      <c r="G272" s="15" t="s">
        <v>18</v>
      </c>
      <c r="H272" s="15">
        <f>0</f>
        <v>0</v>
      </c>
    </row>
    <row r="273" spans="1:8" ht="51" x14ac:dyDescent="0.25">
      <c r="A273" s="8"/>
      <c r="B273" s="6"/>
      <c r="C273" s="21" t="s">
        <v>626</v>
      </c>
      <c r="D273" s="20" t="s">
        <v>627</v>
      </c>
      <c r="E273" s="15">
        <f>0</f>
        <v>0</v>
      </c>
      <c r="F273" s="15">
        <f>0</f>
        <v>0</v>
      </c>
      <c r="G273" s="15" t="s">
        <v>18</v>
      </c>
      <c r="H273" s="15">
        <f>0</f>
        <v>0</v>
      </c>
    </row>
    <row r="274" spans="1:8" ht="51" x14ac:dyDescent="0.25">
      <c r="A274" s="8"/>
      <c r="B274" s="6"/>
      <c r="C274" s="21" t="s">
        <v>628</v>
      </c>
      <c r="D274" s="20" t="s">
        <v>629</v>
      </c>
      <c r="E274" s="15">
        <f>0</f>
        <v>0</v>
      </c>
      <c r="F274" s="15">
        <f>0</f>
        <v>0</v>
      </c>
      <c r="G274" s="15" t="s">
        <v>18</v>
      </c>
      <c r="H274" s="15">
        <f>0</f>
        <v>0</v>
      </c>
    </row>
    <row r="275" spans="1:8" ht="51" x14ac:dyDescent="0.25">
      <c r="A275" s="8"/>
      <c r="B275" s="6"/>
      <c r="C275" s="21" t="s">
        <v>630</v>
      </c>
      <c r="D275" s="20" t="s">
        <v>631</v>
      </c>
      <c r="E275" s="15">
        <f>26.4</f>
        <v>26.4</v>
      </c>
      <c r="F275" s="15">
        <f>26.4</f>
        <v>26.4</v>
      </c>
      <c r="G275" s="15" t="s">
        <v>446</v>
      </c>
      <c r="H275" s="15">
        <f>26.4</f>
        <v>26.4</v>
      </c>
    </row>
    <row r="276" spans="1:8" ht="38.25" x14ac:dyDescent="0.25">
      <c r="A276" s="8"/>
      <c r="B276" s="6"/>
      <c r="C276" s="21" t="s">
        <v>632</v>
      </c>
      <c r="D276" s="20" t="s">
        <v>633</v>
      </c>
      <c r="E276" s="15">
        <f>45.9</f>
        <v>45.9</v>
      </c>
      <c r="F276" s="15">
        <f>45.9</f>
        <v>45.9</v>
      </c>
      <c r="G276" s="15" t="s">
        <v>446</v>
      </c>
      <c r="H276" s="15">
        <f>45.9</f>
        <v>45.9</v>
      </c>
    </row>
    <row r="277" spans="1:8" ht="38.25" x14ac:dyDescent="0.25">
      <c r="A277" s="8"/>
      <c r="B277" s="6"/>
      <c r="C277" s="21" t="s">
        <v>634</v>
      </c>
      <c r="D277" s="20" t="s">
        <v>635</v>
      </c>
      <c r="E277" s="15">
        <f>10.7</f>
        <v>10.7</v>
      </c>
      <c r="F277" s="15">
        <f>10.7</f>
        <v>10.7</v>
      </c>
      <c r="G277" s="15" t="s">
        <v>446</v>
      </c>
      <c r="H277" s="15">
        <f>10.7</f>
        <v>10.7</v>
      </c>
    </row>
    <row r="278" spans="1:8" ht="51" x14ac:dyDescent="0.25">
      <c r="A278" s="8"/>
      <c r="B278" s="6"/>
      <c r="C278" s="21" t="s">
        <v>636</v>
      </c>
      <c r="D278" s="20" t="s">
        <v>637</v>
      </c>
      <c r="E278" s="15">
        <f>58</f>
        <v>58</v>
      </c>
      <c r="F278" s="15">
        <f>58</f>
        <v>58</v>
      </c>
      <c r="G278" s="15" t="s">
        <v>446</v>
      </c>
      <c r="H278" s="15">
        <f>58</f>
        <v>58</v>
      </c>
    </row>
    <row r="279" spans="1:8" ht="38.25" x14ac:dyDescent="0.25">
      <c r="A279" s="8"/>
      <c r="B279" s="6"/>
      <c r="C279" s="21" t="s">
        <v>638</v>
      </c>
      <c r="D279" s="20" t="s">
        <v>639</v>
      </c>
      <c r="E279" s="15">
        <f>338</f>
        <v>338</v>
      </c>
      <c r="F279" s="15">
        <f>338</f>
        <v>338</v>
      </c>
      <c r="G279" s="15" t="s">
        <v>446</v>
      </c>
      <c r="H279" s="15">
        <f>338</f>
        <v>338</v>
      </c>
    </row>
    <row r="280" spans="1:8" ht="51" x14ac:dyDescent="0.25">
      <c r="A280" s="8"/>
      <c r="B280" s="6"/>
      <c r="C280" s="21" t="s">
        <v>640</v>
      </c>
      <c r="D280" s="20" t="s">
        <v>641</v>
      </c>
      <c r="E280" s="15">
        <f>0</f>
        <v>0</v>
      </c>
      <c r="F280" s="15">
        <f>0</f>
        <v>0</v>
      </c>
      <c r="G280" s="15" t="s">
        <v>18</v>
      </c>
      <c r="H280" s="15">
        <f>0</f>
        <v>0</v>
      </c>
    </row>
    <row r="281" spans="1:8" ht="38.25" x14ac:dyDescent="0.25">
      <c r="A281" s="8"/>
      <c r="B281" s="6"/>
      <c r="C281" s="20" t="s">
        <v>16</v>
      </c>
      <c r="D281" s="20" t="s">
        <v>642</v>
      </c>
      <c r="E281" s="15">
        <f>SUM(E282:E300)</f>
        <v>7613.64</v>
      </c>
      <c r="F281" s="15">
        <f>SUM(F282:F300)</f>
        <v>7555.22</v>
      </c>
      <c r="G281" s="15" t="s">
        <v>643</v>
      </c>
      <c r="H281" s="15">
        <f>SUM(H282:H300)</f>
        <v>7555.22</v>
      </c>
    </row>
    <row r="282" spans="1:8" ht="51" x14ac:dyDescent="0.25">
      <c r="A282" s="8"/>
      <c r="B282" s="6"/>
      <c r="C282" s="21" t="s">
        <v>38</v>
      </c>
      <c r="D282" s="20" t="s">
        <v>644</v>
      </c>
      <c r="E282" s="15">
        <f>1765.6</f>
        <v>1765.6</v>
      </c>
      <c r="F282" s="15">
        <f>1707.18</f>
        <v>1707.18</v>
      </c>
      <c r="G282" s="15" t="s">
        <v>645</v>
      </c>
      <c r="H282" s="15">
        <f>1707.18</f>
        <v>1707.18</v>
      </c>
    </row>
    <row r="283" spans="1:8" ht="63.75" x14ac:dyDescent="0.25">
      <c r="A283" s="8"/>
      <c r="B283" s="6"/>
      <c r="C283" s="21" t="s">
        <v>40</v>
      </c>
      <c r="D283" s="20" t="s">
        <v>646</v>
      </c>
      <c r="E283" s="15">
        <f>1848.8</f>
        <v>1848.8</v>
      </c>
      <c r="F283" s="15">
        <f>1848.8</f>
        <v>1848.8</v>
      </c>
      <c r="G283" s="15" t="s">
        <v>446</v>
      </c>
      <c r="H283" s="15">
        <f>1848.8</f>
        <v>1848.8</v>
      </c>
    </row>
    <row r="284" spans="1:8" ht="76.5" x14ac:dyDescent="0.25">
      <c r="A284" s="8"/>
      <c r="B284" s="6"/>
      <c r="C284" s="21" t="s">
        <v>42</v>
      </c>
      <c r="D284" s="20" t="s">
        <v>647</v>
      </c>
      <c r="E284" s="15">
        <f>284</f>
        <v>284</v>
      </c>
      <c r="F284" s="15">
        <f>284</f>
        <v>284</v>
      </c>
      <c r="G284" s="15" t="s">
        <v>446</v>
      </c>
      <c r="H284" s="15">
        <f>284</f>
        <v>284</v>
      </c>
    </row>
    <row r="285" spans="1:8" ht="63.75" x14ac:dyDescent="0.25">
      <c r="A285" s="8"/>
      <c r="B285" s="6"/>
      <c r="C285" s="21" t="s">
        <v>344</v>
      </c>
      <c r="D285" s="20" t="s">
        <v>648</v>
      </c>
      <c r="E285" s="15">
        <f>48</f>
        <v>48</v>
      </c>
      <c r="F285" s="15">
        <f>48</f>
        <v>48</v>
      </c>
      <c r="G285" s="15" t="s">
        <v>446</v>
      </c>
      <c r="H285" s="15">
        <f>48</f>
        <v>48</v>
      </c>
    </row>
    <row r="286" spans="1:8" ht="38.25" x14ac:dyDescent="0.25">
      <c r="A286" s="8"/>
      <c r="B286" s="6"/>
      <c r="C286" s="21" t="s">
        <v>649</v>
      </c>
      <c r="D286" s="20" t="s">
        <v>650</v>
      </c>
      <c r="E286" s="15">
        <f>200.85</f>
        <v>200.85</v>
      </c>
      <c r="F286" s="15">
        <f>200.85</f>
        <v>200.85</v>
      </c>
      <c r="G286" s="15" t="s">
        <v>446</v>
      </c>
      <c r="H286" s="15">
        <f>200.85</f>
        <v>200.85</v>
      </c>
    </row>
    <row r="287" spans="1:8" ht="38.25" x14ac:dyDescent="0.25">
      <c r="A287" s="8"/>
      <c r="B287" s="6"/>
      <c r="C287" s="21" t="s">
        <v>651</v>
      </c>
      <c r="D287" s="20" t="s">
        <v>652</v>
      </c>
      <c r="E287" s="15">
        <f>153.78</f>
        <v>153.78</v>
      </c>
      <c r="F287" s="15">
        <f>153.78</f>
        <v>153.78</v>
      </c>
      <c r="G287" s="15" t="s">
        <v>446</v>
      </c>
      <c r="H287" s="15">
        <f>153.78</f>
        <v>153.78</v>
      </c>
    </row>
    <row r="288" spans="1:8" ht="38.25" x14ac:dyDescent="0.25">
      <c r="A288" s="8"/>
      <c r="B288" s="6"/>
      <c r="C288" s="21" t="s">
        <v>653</v>
      </c>
      <c r="D288" s="20" t="s">
        <v>654</v>
      </c>
      <c r="E288" s="15">
        <f>452.9</f>
        <v>452.9</v>
      </c>
      <c r="F288" s="15">
        <f>452.9</f>
        <v>452.9</v>
      </c>
      <c r="G288" s="15" t="s">
        <v>446</v>
      </c>
      <c r="H288" s="15">
        <f>452.9</f>
        <v>452.9</v>
      </c>
    </row>
    <row r="289" spans="1:8" ht="51" x14ac:dyDescent="0.25">
      <c r="A289" s="8"/>
      <c r="B289" s="6"/>
      <c r="C289" s="21" t="s">
        <v>655</v>
      </c>
      <c r="D289" s="20" t="s">
        <v>656</v>
      </c>
      <c r="E289" s="15">
        <f>1652.79</f>
        <v>1652.79</v>
      </c>
      <c r="F289" s="15">
        <f>1652.79</f>
        <v>1652.79</v>
      </c>
      <c r="G289" s="15" t="s">
        <v>446</v>
      </c>
      <c r="H289" s="15">
        <f>1652.79</f>
        <v>1652.79</v>
      </c>
    </row>
    <row r="290" spans="1:8" ht="38.25" x14ac:dyDescent="0.25">
      <c r="A290" s="8"/>
      <c r="B290" s="6"/>
      <c r="C290" s="21" t="s">
        <v>657</v>
      </c>
      <c r="D290" s="20" t="s">
        <v>658</v>
      </c>
      <c r="E290" s="15">
        <f>583.94</f>
        <v>583.94000000000005</v>
      </c>
      <c r="F290" s="15">
        <f>583.94</f>
        <v>583.94000000000005</v>
      </c>
      <c r="G290" s="15" t="s">
        <v>446</v>
      </c>
      <c r="H290" s="15">
        <f>583.94</f>
        <v>583.94000000000005</v>
      </c>
    </row>
    <row r="291" spans="1:8" ht="51" x14ac:dyDescent="0.25">
      <c r="A291" s="8"/>
      <c r="B291" s="6"/>
      <c r="C291" s="21" t="s">
        <v>659</v>
      </c>
      <c r="D291" s="20" t="s">
        <v>660</v>
      </c>
      <c r="E291" s="15">
        <f>0</f>
        <v>0</v>
      </c>
      <c r="F291" s="15">
        <f>0</f>
        <v>0</v>
      </c>
      <c r="G291" s="15" t="s">
        <v>18</v>
      </c>
      <c r="H291" s="15">
        <f>0</f>
        <v>0</v>
      </c>
    </row>
    <row r="292" spans="1:8" ht="38.25" x14ac:dyDescent="0.25">
      <c r="A292" s="8"/>
      <c r="B292" s="6"/>
      <c r="C292" s="21" t="s">
        <v>661</v>
      </c>
      <c r="D292" s="20" t="s">
        <v>662</v>
      </c>
      <c r="E292" s="15">
        <f>294.59</f>
        <v>294.58999999999997</v>
      </c>
      <c r="F292" s="15">
        <f>294.59</f>
        <v>294.58999999999997</v>
      </c>
      <c r="G292" s="15" t="s">
        <v>446</v>
      </c>
      <c r="H292" s="15">
        <f>294.59</f>
        <v>294.58999999999997</v>
      </c>
    </row>
    <row r="293" spans="1:8" ht="51" x14ac:dyDescent="0.25">
      <c r="A293" s="8"/>
      <c r="B293" s="6"/>
      <c r="C293" s="21" t="s">
        <v>663</v>
      </c>
      <c r="D293" s="20" t="s">
        <v>664</v>
      </c>
      <c r="E293" s="15">
        <f>0</f>
        <v>0</v>
      </c>
      <c r="F293" s="15">
        <f>0</f>
        <v>0</v>
      </c>
      <c r="G293" s="15" t="s">
        <v>18</v>
      </c>
      <c r="H293" s="15">
        <f>0</f>
        <v>0</v>
      </c>
    </row>
    <row r="294" spans="1:8" ht="63.75" x14ac:dyDescent="0.25">
      <c r="A294" s="8"/>
      <c r="B294" s="6"/>
      <c r="C294" s="21" t="s">
        <v>665</v>
      </c>
      <c r="D294" s="20" t="s">
        <v>666</v>
      </c>
      <c r="E294" s="15">
        <f>158.39</f>
        <v>158.38999999999999</v>
      </c>
      <c r="F294" s="15">
        <f>158.39</f>
        <v>158.38999999999999</v>
      </c>
      <c r="G294" s="15" t="s">
        <v>446</v>
      </c>
      <c r="H294" s="15">
        <f>158.39</f>
        <v>158.38999999999999</v>
      </c>
    </row>
    <row r="295" spans="1:8" ht="51" x14ac:dyDescent="0.25">
      <c r="A295" s="8"/>
      <c r="B295" s="6"/>
      <c r="C295" s="21" t="s">
        <v>667</v>
      </c>
      <c r="D295" s="20" t="s">
        <v>668</v>
      </c>
      <c r="E295" s="15">
        <f>0</f>
        <v>0</v>
      </c>
      <c r="F295" s="15">
        <f>0</f>
        <v>0</v>
      </c>
      <c r="G295" s="15" t="s">
        <v>18</v>
      </c>
      <c r="H295" s="15">
        <f>0</f>
        <v>0</v>
      </c>
    </row>
    <row r="296" spans="1:8" ht="51" x14ac:dyDescent="0.25">
      <c r="A296" s="8"/>
      <c r="B296" s="6"/>
      <c r="C296" s="21" t="s">
        <v>669</v>
      </c>
      <c r="D296" s="20" t="s">
        <v>670</v>
      </c>
      <c r="E296" s="15">
        <f>0</f>
        <v>0</v>
      </c>
      <c r="F296" s="15">
        <f>0</f>
        <v>0</v>
      </c>
      <c r="G296" s="15" t="s">
        <v>18</v>
      </c>
      <c r="H296" s="15">
        <f>0</f>
        <v>0</v>
      </c>
    </row>
    <row r="297" spans="1:8" ht="38.25" x14ac:dyDescent="0.25">
      <c r="A297" s="8"/>
      <c r="B297" s="6"/>
      <c r="C297" s="21" t="s">
        <v>671</v>
      </c>
      <c r="D297" s="20" t="s">
        <v>672</v>
      </c>
      <c r="E297" s="15">
        <f>170</f>
        <v>170</v>
      </c>
      <c r="F297" s="15">
        <f>170</f>
        <v>170</v>
      </c>
      <c r="G297" s="15" t="s">
        <v>446</v>
      </c>
      <c r="H297" s="15">
        <f>170</f>
        <v>170</v>
      </c>
    </row>
    <row r="298" spans="1:8" ht="51" x14ac:dyDescent="0.25">
      <c r="A298" s="8"/>
      <c r="B298" s="6"/>
      <c r="C298" s="21" t="s">
        <v>673</v>
      </c>
      <c r="D298" s="20" t="s">
        <v>674</v>
      </c>
      <c r="E298" s="15">
        <f>0</f>
        <v>0</v>
      </c>
      <c r="F298" s="15">
        <f>0</f>
        <v>0</v>
      </c>
      <c r="G298" s="15" t="s">
        <v>18</v>
      </c>
      <c r="H298" s="15">
        <f>0</f>
        <v>0</v>
      </c>
    </row>
    <row r="299" spans="1:8" ht="51" x14ac:dyDescent="0.25">
      <c r="A299" s="8"/>
      <c r="B299" s="6"/>
      <c r="C299" s="21" t="s">
        <v>675</v>
      </c>
      <c r="D299" s="20" t="s">
        <v>676</v>
      </c>
      <c r="E299" s="15">
        <f>0</f>
        <v>0</v>
      </c>
      <c r="F299" s="15">
        <f>0</f>
        <v>0</v>
      </c>
      <c r="G299" s="15" t="s">
        <v>18</v>
      </c>
      <c r="H299" s="15">
        <f>0</f>
        <v>0</v>
      </c>
    </row>
    <row r="300" spans="1:8" ht="51" x14ac:dyDescent="0.25">
      <c r="A300" s="8"/>
      <c r="B300" s="6"/>
      <c r="C300" s="21" t="s">
        <v>677</v>
      </c>
      <c r="D300" s="20" t="s">
        <v>678</v>
      </c>
      <c r="E300" s="15">
        <f>0</f>
        <v>0</v>
      </c>
      <c r="F300" s="15">
        <f>0</f>
        <v>0</v>
      </c>
      <c r="G300" s="15" t="s">
        <v>18</v>
      </c>
      <c r="H300" s="15">
        <f>0</f>
        <v>0</v>
      </c>
    </row>
    <row r="301" spans="1:8" ht="38.25" x14ac:dyDescent="0.25">
      <c r="A301" s="8"/>
      <c r="B301" s="6"/>
      <c r="C301" s="20" t="s">
        <v>19</v>
      </c>
      <c r="D301" s="20" t="s">
        <v>679</v>
      </c>
      <c r="E301" s="15">
        <f>SUM(E302:E314)</f>
        <v>414.76</v>
      </c>
      <c r="F301" s="15">
        <f>SUM(F302:F314)</f>
        <v>414.75</v>
      </c>
      <c r="G301" s="15" t="s">
        <v>446</v>
      </c>
      <c r="H301" s="15">
        <f>SUM(H302:H314)</f>
        <v>414.75</v>
      </c>
    </row>
    <row r="302" spans="1:8" ht="51" x14ac:dyDescent="0.25">
      <c r="A302" s="8"/>
      <c r="B302" s="6"/>
      <c r="C302" s="21" t="s">
        <v>195</v>
      </c>
      <c r="D302" s="20" t="s">
        <v>680</v>
      </c>
      <c r="E302" s="15">
        <f>0</f>
        <v>0</v>
      </c>
      <c r="F302" s="15">
        <f>0</f>
        <v>0</v>
      </c>
      <c r="G302" s="15" t="s">
        <v>18</v>
      </c>
      <c r="H302" s="15">
        <f>0</f>
        <v>0</v>
      </c>
    </row>
    <row r="303" spans="1:8" ht="51" x14ac:dyDescent="0.25">
      <c r="A303" s="8"/>
      <c r="B303" s="6"/>
      <c r="C303" s="21" t="s">
        <v>284</v>
      </c>
      <c r="D303" s="20" t="s">
        <v>681</v>
      </c>
      <c r="E303" s="15">
        <f>0</f>
        <v>0</v>
      </c>
      <c r="F303" s="15">
        <f>0</f>
        <v>0</v>
      </c>
      <c r="G303" s="15" t="s">
        <v>18</v>
      </c>
      <c r="H303" s="15">
        <f>0</f>
        <v>0</v>
      </c>
    </row>
    <row r="304" spans="1:8" ht="51" x14ac:dyDescent="0.25">
      <c r="A304" s="8"/>
      <c r="B304" s="6"/>
      <c r="C304" s="21" t="s">
        <v>375</v>
      </c>
      <c r="D304" s="20" t="s">
        <v>682</v>
      </c>
      <c r="E304" s="15">
        <f>0</f>
        <v>0</v>
      </c>
      <c r="F304" s="15">
        <f>0</f>
        <v>0</v>
      </c>
      <c r="G304" s="15" t="s">
        <v>18</v>
      </c>
      <c r="H304" s="15">
        <f>0</f>
        <v>0</v>
      </c>
    </row>
    <row r="305" spans="1:8" ht="51" x14ac:dyDescent="0.25">
      <c r="A305" s="8"/>
      <c r="B305" s="6"/>
      <c r="C305" s="21" t="s">
        <v>509</v>
      </c>
      <c r="D305" s="20" t="s">
        <v>683</v>
      </c>
      <c r="E305" s="15">
        <f>0</f>
        <v>0</v>
      </c>
      <c r="F305" s="15">
        <f>0</f>
        <v>0</v>
      </c>
      <c r="G305" s="15" t="s">
        <v>18</v>
      </c>
      <c r="H305" s="15">
        <f>0</f>
        <v>0</v>
      </c>
    </row>
    <row r="306" spans="1:8" ht="51" x14ac:dyDescent="0.25">
      <c r="A306" s="8"/>
      <c r="B306" s="6"/>
      <c r="C306" s="21" t="s">
        <v>684</v>
      </c>
      <c r="D306" s="20" t="s">
        <v>685</v>
      </c>
      <c r="E306" s="15">
        <f>0</f>
        <v>0</v>
      </c>
      <c r="F306" s="15">
        <f>0</f>
        <v>0</v>
      </c>
      <c r="G306" s="15" t="s">
        <v>18</v>
      </c>
      <c r="H306" s="15">
        <f>0</f>
        <v>0</v>
      </c>
    </row>
    <row r="307" spans="1:8" ht="51" x14ac:dyDescent="0.25">
      <c r="A307" s="8"/>
      <c r="B307" s="6"/>
      <c r="C307" s="21" t="s">
        <v>686</v>
      </c>
      <c r="D307" s="20" t="s">
        <v>687</v>
      </c>
      <c r="E307" s="15">
        <f>0</f>
        <v>0</v>
      </c>
      <c r="F307" s="15">
        <f>0</f>
        <v>0</v>
      </c>
      <c r="G307" s="15" t="s">
        <v>18</v>
      </c>
      <c r="H307" s="15">
        <f>0</f>
        <v>0</v>
      </c>
    </row>
    <row r="308" spans="1:8" ht="38.25" x14ac:dyDescent="0.25">
      <c r="A308" s="8"/>
      <c r="B308" s="6"/>
      <c r="C308" s="21" t="s">
        <v>688</v>
      </c>
      <c r="D308" s="20" t="s">
        <v>689</v>
      </c>
      <c r="E308" s="15">
        <f>251.06</f>
        <v>251.06</v>
      </c>
      <c r="F308" s="15">
        <f>251.06</f>
        <v>251.06</v>
      </c>
      <c r="G308" s="15" t="s">
        <v>446</v>
      </c>
      <c r="H308" s="15">
        <f>251.06</f>
        <v>251.06</v>
      </c>
    </row>
    <row r="309" spans="1:8" ht="38.25" x14ac:dyDescent="0.25">
      <c r="A309" s="8"/>
      <c r="B309" s="6"/>
      <c r="C309" s="21" t="s">
        <v>690</v>
      </c>
      <c r="D309" s="20" t="s">
        <v>691</v>
      </c>
      <c r="E309" s="15">
        <f>73.7</f>
        <v>73.7</v>
      </c>
      <c r="F309" s="15">
        <f>73.69</f>
        <v>73.69</v>
      </c>
      <c r="G309" s="15" t="s">
        <v>446</v>
      </c>
      <c r="H309" s="15">
        <f>73.69</f>
        <v>73.69</v>
      </c>
    </row>
    <row r="310" spans="1:8" ht="51" x14ac:dyDescent="0.25">
      <c r="A310" s="8"/>
      <c r="B310" s="6"/>
      <c r="C310" s="21" t="s">
        <v>692</v>
      </c>
      <c r="D310" s="20" t="s">
        <v>693</v>
      </c>
      <c r="E310" s="15">
        <f>0</f>
        <v>0</v>
      </c>
      <c r="F310" s="15">
        <f>0</f>
        <v>0</v>
      </c>
      <c r="G310" s="15" t="s">
        <v>18</v>
      </c>
      <c r="H310" s="15">
        <f>0</f>
        <v>0</v>
      </c>
    </row>
    <row r="311" spans="1:8" ht="38.25" x14ac:dyDescent="0.25">
      <c r="A311" s="8"/>
      <c r="B311" s="6"/>
      <c r="C311" s="21" t="s">
        <v>694</v>
      </c>
      <c r="D311" s="20" t="s">
        <v>695</v>
      </c>
      <c r="E311" s="15">
        <f>90</f>
        <v>90</v>
      </c>
      <c r="F311" s="15">
        <f>90</f>
        <v>90</v>
      </c>
      <c r="G311" s="15" t="s">
        <v>446</v>
      </c>
      <c r="H311" s="15">
        <f>90</f>
        <v>90</v>
      </c>
    </row>
    <row r="312" spans="1:8" ht="63.75" x14ac:dyDescent="0.25">
      <c r="A312" s="8"/>
      <c r="B312" s="6"/>
      <c r="C312" s="21" t="s">
        <v>696</v>
      </c>
      <c r="D312" s="20" t="s">
        <v>697</v>
      </c>
      <c r="E312" s="15">
        <f>0</f>
        <v>0</v>
      </c>
      <c r="F312" s="15">
        <f>0</f>
        <v>0</v>
      </c>
      <c r="G312" s="15" t="s">
        <v>18</v>
      </c>
      <c r="H312" s="15">
        <f>0</f>
        <v>0</v>
      </c>
    </row>
    <row r="313" spans="1:8" ht="51" x14ac:dyDescent="0.25">
      <c r="A313" s="8"/>
      <c r="B313" s="6"/>
      <c r="C313" s="21" t="s">
        <v>698</v>
      </c>
      <c r="D313" s="20" t="s">
        <v>699</v>
      </c>
      <c r="E313" s="15">
        <f>0</f>
        <v>0</v>
      </c>
      <c r="F313" s="15">
        <f>0</f>
        <v>0</v>
      </c>
      <c r="G313" s="15" t="s">
        <v>18</v>
      </c>
      <c r="H313" s="15">
        <f>0</f>
        <v>0</v>
      </c>
    </row>
    <row r="314" spans="1:8" ht="63.75" x14ac:dyDescent="0.25">
      <c r="A314" s="8"/>
      <c r="B314" s="6"/>
      <c r="C314" s="21" t="s">
        <v>700</v>
      </c>
      <c r="D314" s="20" t="s">
        <v>701</v>
      </c>
      <c r="E314" s="15">
        <f>0</f>
        <v>0</v>
      </c>
      <c r="F314" s="15">
        <f>0</f>
        <v>0</v>
      </c>
      <c r="G314" s="15" t="s">
        <v>18</v>
      </c>
      <c r="H314" s="15">
        <f>0</f>
        <v>0</v>
      </c>
    </row>
    <row r="315" spans="1:8" ht="76.5" x14ac:dyDescent="0.25">
      <c r="A315" s="8"/>
      <c r="B315" s="6"/>
      <c r="C315" s="20" t="s">
        <v>21</v>
      </c>
      <c r="D315" s="20" t="s">
        <v>702</v>
      </c>
      <c r="E315" s="15">
        <f>E316+E317+E318</f>
        <v>60.4</v>
      </c>
      <c r="F315" s="15">
        <f>F316+F317+F318</f>
        <v>60.4</v>
      </c>
      <c r="G315" s="15" t="s">
        <v>446</v>
      </c>
      <c r="H315" s="15">
        <f>H316+H317+H318</f>
        <v>60.4</v>
      </c>
    </row>
    <row r="316" spans="1:8" ht="89.25" x14ac:dyDescent="0.25">
      <c r="A316" s="8"/>
      <c r="B316" s="6"/>
      <c r="C316" s="21" t="s">
        <v>203</v>
      </c>
      <c r="D316" s="20" t="s">
        <v>703</v>
      </c>
      <c r="E316" s="15">
        <f>0</f>
        <v>0</v>
      </c>
      <c r="F316" s="15">
        <f>0</f>
        <v>0</v>
      </c>
      <c r="G316" s="15" t="s">
        <v>18</v>
      </c>
      <c r="H316" s="15">
        <f>0</f>
        <v>0</v>
      </c>
    </row>
    <row r="317" spans="1:8" ht="102" x14ac:dyDescent="0.25">
      <c r="A317" s="8"/>
      <c r="B317" s="6"/>
      <c r="C317" s="21" t="s">
        <v>475</v>
      </c>
      <c r="D317" s="20" t="s">
        <v>704</v>
      </c>
      <c r="E317" s="15">
        <f>0</f>
        <v>0</v>
      </c>
      <c r="F317" s="15">
        <f>0</f>
        <v>0</v>
      </c>
      <c r="G317" s="15" t="s">
        <v>18</v>
      </c>
      <c r="H317" s="15">
        <f>0</f>
        <v>0</v>
      </c>
    </row>
    <row r="318" spans="1:8" ht="51" x14ac:dyDescent="0.25">
      <c r="A318" s="8"/>
      <c r="B318" s="6"/>
      <c r="C318" s="21" t="s">
        <v>477</v>
      </c>
      <c r="D318" s="20" t="s">
        <v>705</v>
      </c>
      <c r="E318" s="15">
        <f>60.4</f>
        <v>60.4</v>
      </c>
      <c r="F318" s="15">
        <f>60.4</f>
        <v>60.4</v>
      </c>
      <c r="G318" s="15" t="s">
        <v>446</v>
      </c>
      <c r="H318" s="15">
        <f>60.4</f>
        <v>60.4</v>
      </c>
    </row>
    <row r="319" spans="1:8" ht="38.25" x14ac:dyDescent="0.25">
      <c r="A319" s="8"/>
      <c r="B319" s="6"/>
      <c r="C319" s="19" t="s">
        <v>207</v>
      </c>
      <c r="D319" s="19" t="s">
        <v>706</v>
      </c>
      <c r="E319" s="14">
        <f>E320+E322+E324+E329</f>
        <v>1226.26</v>
      </c>
      <c r="F319" s="14">
        <f>F320+F322+F324+F329</f>
        <v>1226.25</v>
      </c>
      <c r="G319" s="14" t="s">
        <v>446</v>
      </c>
      <c r="H319" s="14">
        <f>H320+H322+H324+H329</f>
        <v>1226.25</v>
      </c>
    </row>
    <row r="320" spans="1:8" ht="51" x14ac:dyDescent="0.25">
      <c r="A320" s="8"/>
      <c r="B320" s="6"/>
      <c r="C320" s="20" t="s">
        <v>12</v>
      </c>
      <c r="D320" s="20" t="s">
        <v>707</v>
      </c>
      <c r="E320" s="15">
        <f>E321</f>
        <v>0</v>
      </c>
      <c r="F320" s="15">
        <f>F321</f>
        <v>0</v>
      </c>
      <c r="G320" s="15" t="s">
        <v>532</v>
      </c>
      <c r="H320" s="15">
        <f>H321</f>
        <v>0</v>
      </c>
    </row>
    <row r="321" spans="1:8" ht="127.5" x14ac:dyDescent="0.25">
      <c r="A321" s="8"/>
      <c r="B321" s="6"/>
      <c r="C321" s="21" t="s">
        <v>26</v>
      </c>
      <c r="D321" s="20" t="s">
        <v>708</v>
      </c>
      <c r="E321" s="15">
        <f>0</f>
        <v>0</v>
      </c>
      <c r="F321" s="15">
        <f>0</f>
        <v>0</v>
      </c>
      <c r="G321" s="15" t="s">
        <v>532</v>
      </c>
      <c r="H321" s="15">
        <f>0</f>
        <v>0</v>
      </c>
    </row>
    <row r="322" spans="1:8" ht="51" x14ac:dyDescent="0.25">
      <c r="A322" s="8"/>
      <c r="B322" s="6"/>
      <c r="C322" s="20" t="s">
        <v>14</v>
      </c>
      <c r="D322" s="20" t="s">
        <v>709</v>
      </c>
      <c r="E322" s="15">
        <f>E323</f>
        <v>0</v>
      </c>
      <c r="F322" s="15">
        <f>F323</f>
        <v>0</v>
      </c>
      <c r="G322" s="15" t="s">
        <v>532</v>
      </c>
      <c r="H322" s="15">
        <f>H323</f>
        <v>0</v>
      </c>
    </row>
    <row r="323" spans="1:8" ht="63.75" x14ac:dyDescent="0.25">
      <c r="A323" s="8"/>
      <c r="B323" s="6"/>
      <c r="C323" s="21" t="s">
        <v>33</v>
      </c>
      <c r="D323" s="20" t="s">
        <v>710</v>
      </c>
      <c r="E323" s="15">
        <f>0</f>
        <v>0</v>
      </c>
      <c r="F323" s="15">
        <f>0</f>
        <v>0</v>
      </c>
      <c r="G323" s="15" t="s">
        <v>532</v>
      </c>
      <c r="H323" s="15">
        <f>0</f>
        <v>0</v>
      </c>
    </row>
    <row r="324" spans="1:8" ht="51" x14ac:dyDescent="0.25">
      <c r="A324" s="8"/>
      <c r="B324" s="6"/>
      <c r="C324" s="20" t="s">
        <v>16</v>
      </c>
      <c r="D324" s="20" t="s">
        <v>711</v>
      </c>
      <c r="E324" s="15">
        <f>E325+E326+E327+E328</f>
        <v>0</v>
      </c>
      <c r="F324" s="15">
        <f>F325+F326+F327+F328</f>
        <v>0</v>
      </c>
      <c r="G324" s="15" t="s">
        <v>532</v>
      </c>
      <c r="H324" s="15">
        <f>H325+H326+H327+H328</f>
        <v>0</v>
      </c>
    </row>
    <row r="325" spans="1:8" ht="242.25" x14ac:dyDescent="0.25">
      <c r="A325" s="8"/>
      <c r="B325" s="6"/>
      <c r="C325" s="21" t="s">
        <v>38</v>
      </c>
      <c r="D325" s="20" t="s">
        <v>712</v>
      </c>
      <c r="E325" s="15">
        <f>0</f>
        <v>0</v>
      </c>
      <c r="F325" s="15">
        <f>0</f>
        <v>0</v>
      </c>
      <c r="G325" s="15" t="s">
        <v>532</v>
      </c>
      <c r="H325" s="15">
        <f>0</f>
        <v>0</v>
      </c>
    </row>
    <row r="326" spans="1:8" ht="89.25" x14ac:dyDescent="0.25">
      <c r="A326" s="8"/>
      <c r="B326" s="6"/>
      <c r="C326" s="21" t="s">
        <v>40</v>
      </c>
      <c r="D326" s="20" t="s">
        <v>713</v>
      </c>
      <c r="E326" s="15">
        <f>0</f>
        <v>0</v>
      </c>
      <c r="F326" s="15">
        <f>0</f>
        <v>0</v>
      </c>
      <c r="G326" s="15" t="s">
        <v>532</v>
      </c>
      <c r="H326" s="15">
        <f>0</f>
        <v>0</v>
      </c>
    </row>
    <row r="327" spans="1:8" ht="63.75" x14ac:dyDescent="0.25">
      <c r="A327" s="8"/>
      <c r="B327" s="6"/>
      <c r="C327" s="21" t="s">
        <v>42</v>
      </c>
      <c r="D327" s="20" t="s">
        <v>714</v>
      </c>
      <c r="E327" s="15">
        <f>0</f>
        <v>0</v>
      </c>
      <c r="F327" s="15">
        <f>0</f>
        <v>0</v>
      </c>
      <c r="G327" s="15" t="s">
        <v>532</v>
      </c>
      <c r="H327" s="15">
        <f>0</f>
        <v>0</v>
      </c>
    </row>
    <row r="328" spans="1:8" ht="76.5" x14ac:dyDescent="0.25">
      <c r="A328" s="8"/>
      <c r="B328" s="6"/>
      <c r="C328" s="21" t="s">
        <v>344</v>
      </c>
      <c r="D328" s="20" t="s">
        <v>715</v>
      </c>
      <c r="E328" s="15">
        <f>0</f>
        <v>0</v>
      </c>
      <c r="F328" s="15">
        <f>0</f>
        <v>0</v>
      </c>
      <c r="G328" s="15" t="s">
        <v>532</v>
      </c>
      <c r="H328" s="15">
        <f>0</f>
        <v>0</v>
      </c>
    </row>
    <row r="329" spans="1:8" ht="38.25" x14ac:dyDescent="0.25">
      <c r="A329" s="8"/>
      <c r="B329" s="6"/>
      <c r="C329" s="20" t="s">
        <v>19</v>
      </c>
      <c r="D329" s="20" t="s">
        <v>716</v>
      </c>
      <c r="E329" s="15">
        <f>E330</f>
        <v>1226.26</v>
      </c>
      <c r="F329" s="15">
        <f>F330</f>
        <v>1226.25</v>
      </c>
      <c r="G329" s="15" t="s">
        <v>446</v>
      </c>
      <c r="H329" s="15">
        <f>H330</f>
        <v>1226.25</v>
      </c>
    </row>
    <row r="330" spans="1:8" ht="76.5" x14ac:dyDescent="0.25">
      <c r="A330" s="8"/>
      <c r="B330" s="6"/>
      <c r="C330" s="21" t="s">
        <v>195</v>
      </c>
      <c r="D330" s="20" t="s">
        <v>717</v>
      </c>
      <c r="E330" s="15">
        <f>1226.26</f>
        <v>1226.26</v>
      </c>
      <c r="F330" s="15">
        <f>1226.25</f>
        <v>1226.25</v>
      </c>
      <c r="G330" s="15" t="s">
        <v>446</v>
      </c>
      <c r="H330" s="15">
        <f>1226.25</f>
        <v>1226.25</v>
      </c>
    </row>
    <row r="331" spans="1:8" ht="15.75" x14ac:dyDescent="0.25">
      <c r="A331" s="8"/>
      <c r="B331" s="6"/>
      <c r="C331" s="22" t="s">
        <v>90</v>
      </c>
      <c r="D331" s="22"/>
      <c r="E331" s="16">
        <f>E145+E177+E210+E221+E319</f>
        <v>105165.98999999999</v>
      </c>
      <c r="F331" s="16">
        <f>F145+F177+F210+F221+F319</f>
        <v>104605.56</v>
      </c>
      <c r="G331" s="16" t="s">
        <v>718</v>
      </c>
      <c r="H331" s="16">
        <f>H145+H177+H210+H221+H319</f>
        <v>104605.56</v>
      </c>
    </row>
    <row r="332" spans="1:8" ht="38.25" x14ac:dyDescent="0.25">
      <c r="A332" s="6">
        <v>4</v>
      </c>
      <c r="B332" s="6" t="s">
        <v>231</v>
      </c>
      <c r="C332" s="19" t="s">
        <v>10</v>
      </c>
      <c r="D332" s="19" t="s">
        <v>232</v>
      </c>
      <c r="E332" s="14">
        <f>E333</f>
        <v>4008.4</v>
      </c>
      <c r="F332" s="14">
        <f>F333</f>
        <v>4008.39</v>
      </c>
      <c r="G332" s="14" t="s">
        <v>446</v>
      </c>
      <c r="H332" s="14">
        <f>H333</f>
        <v>4008.39</v>
      </c>
    </row>
    <row r="333" spans="1:8" ht="38.25" x14ac:dyDescent="0.25">
      <c r="A333" s="6"/>
      <c r="B333" s="6"/>
      <c r="C333" s="20" t="s">
        <v>12</v>
      </c>
      <c r="D333" s="20" t="s">
        <v>233</v>
      </c>
      <c r="E333" s="15">
        <f>E334+E335+E336+E337+E338+E339+E340</f>
        <v>4008.4</v>
      </c>
      <c r="F333" s="15">
        <f>F334+F335+F336+F337+F338+F339+F340</f>
        <v>4008.39</v>
      </c>
      <c r="G333" s="15" t="s">
        <v>446</v>
      </c>
      <c r="H333" s="15">
        <f>H334+H335+H336+H337+H338+H339+H340</f>
        <v>4008.39</v>
      </c>
    </row>
    <row r="334" spans="1:8" ht="76.5" x14ac:dyDescent="0.25">
      <c r="A334" s="6"/>
      <c r="B334" s="6"/>
      <c r="C334" s="21" t="s">
        <v>26</v>
      </c>
      <c r="D334" s="20" t="s">
        <v>234</v>
      </c>
      <c r="E334" s="15">
        <f>0</f>
        <v>0</v>
      </c>
      <c r="F334" s="15">
        <f>0</f>
        <v>0</v>
      </c>
      <c r="G334" s="15" t="s">
        <v>18</v>
      </c>
      <c r="H334" s="15">
        <f>0</f>
        <v>0</v>
      </c>
    </row>
    <row r="335" spans="1:8" ht="165.75" x14ac:dyDescent="0.25">
      <c r="A335" s="6"/>
      <c r="B335" s="6"/>
      <c r="C335" s="21" t="s">
        <v>28</v>
      </c>
      <c r="D335" s="20" t="s">
        <v>235</v>
      </c>
      <c r="E335" s="15">
        <f>252</f>
        <v>252</v>
      </c>
      <c r="F335" s="15">
        <f>252</f>
        <v>252</v>
      </c>
      <c r="G335" s="15" t="s">
        <v>446</v>
      </c>
      <c r="H335" s="15">
        <f>252</f>
        <v>252</v>
      </c>
    </row>
    <row r="336" spans="1:8" ht="76.5" x14ac:dyDescent="0.25">
      <c r="A336" s="6"/>
      <c r="B336" s="6"/>
      <c r="C336" s="21" t="s">
        <v>30</v>
      </c>
      <c r="D336" s="20" t="s">
        <v>236</v>
      </c>
      <c r="E336" s="15">
        <f>502.75</f>
        <v>502.75</v>
      </c>
      <c r="F336" s="15">
        <f>502.75</f>
        <v>502.75</v>
      </c>
      <c r="G336" s="15" t="s">
        <v>446</v>
      </c>
      <c r="H336" s="15">
        <f>502.75</f>
        <v>502.75</v>
      </c>
    </row>
    <row r="337" spans="1:8" ht="63.75" x14ac:dyDescent="0.25">
      <c r="A337" s="6"/>
      <c r="B337" s="6"/>
      <c r="C337" s="21" t="s">
        <v>87</v>
      </c>
      <c r="D337" s="20" t="s">
        <v>237</v>
      </c>
      <c r="E337" s="15">
        <f>2267.65</f>
        <v>2267.65</v>
      </c>
      <c r="F337" s="15">
        <f>2267.64</f>
        <v>2267.64</v>
      </c>
      <c r="G337" s="15" t="s">
        <v>446</v>
      </c>
      <c r="H337" s="15">
        <f>2267.64</f>
        <v>2267.64</v>
      </c>
    </row>
    <row r="338" spans="1:8" ht="114.75" x14ac:dyDescent="0.25">
      <c r="A338" s="6"/>
      <c r="B338" s="6"/>
      <c r="C338" s="21" t="s">
        <v>89</v>
      </c>
      <c r="D338" s="20" t="s">
        <v>238</v>
      </c>
      <c r="E338" s="15">
        <f>986</f>
        <v>986</v>
      </c>
      <c r="F338" s="15">
        <f>986</f>
        <v>986</v>
      </c>
      <c r="G338" s="15" t="s">
        <v>446</v>
      </c>
      <c r="H338" s="15">
        <f>986</f>
        <v>986</v>
      </c>
    </row>
    <row r="339" spans="1:8" ht="51" x14ac:dyDescent="0.25">
      <c r="A339" s="6"/>
      <c r="B339" s="6"/>
      <c r="C339" s="21" t="s">
        <v>98</v>
      </c>
      <c r="D339" s="20" t="s">
        <v>239</v>
      </c>
      <c r="E339" s="15">
        <f>0</f>
        <v>0</v>
      </c>
      <c r="F339" s="15">
        <f>0</f>
        <v>0</v>
      </c>
      <c r="G339" s="15" t="s">
        <v>18</v>
      </c>
      <c r="H339" s="15">
        <f>0</f>
        <v>0</v>
      </c>
    </row>
    <row r="340" spans="1:8" ht="51" x14ac:dyDescent="0.25">
      <c r="A340" s="6"/>
      <c r="B340" s="6"/>
      <c r="C340" s="21" t="s">
        <v>100</v>
      </c>
      <c r="D340" s="20" t="s">
        <v>240</v>
      </c>
      <c r="E340" s="15">
        <f>0</f>
        <v>0</v>
      </c>
      <c r="F340" s="15">
        <f>0</f>
        <v>0</v>
      </c>
      <c r="G340" s="15" t="s">
        <v>18</v>
      </c>
      <c r="H340" s="15">
        <f>0</f>
        <v>0</v>
      </c>
    </row>
    <row r="341" spans="1:8" ht="38.25" x14ac:dyDescent="0.25">
      <c r="A341" s="6"/>
      <c r="B341" s="6"/>
      <c r="C341" s="19" t="s">
        <v>23</v>
      </c>
      <c r="D341" s="19" t="s">
        <v>241</v>
      </c>
      <c r="E341" s="14">
        <f>E342+E353</f>
        <v>26302.83</v>
      </c>
      <c r="F341" s="14">
        <f>F342+F353</f>
        <v>26275.160000000003</v>
      </c>
      <c r="G341" s="14" t="s">
        <v>446</v>
      </c>
      <c r="H341" s="14">
        <f>H342+H353</f>
        <v>26275.160000000003</v>
      </c>
    </row>
    <row r="342" spans="1:8" ht="38.25" x14ac:dyDescent="0.25">
      <c r="A342" s="6"/>
      <c r="B342" s="6"/>
      <c r="C342" s="20" t="s">
        <v>12</v>
      </c>
      <c r="D342" s="20" t="s">
        <v>242</v>
      </c>
      <c r="E342" s="15">
        <f>E343+E346+E347+E348+E349+E350+E351+E352</f>
        <v>23455.81</v>
      </c>
      <c r="F342" s="15">
        <f>F343+F346+F347+F348+F349+F350+F351+F352</f>
        <v>23428.140000000003</v>
      </c>
      <c r="G342" s="15" t="s">
        <v>446</v>
      </c>
      <c r="H342" s="15">
        <f>H343+H346+H347+H348+H349+H350+H351+H352</f>
        <v>23428.140000000003</v>
      </c>
    </row>
    <row r="343" spans="1:8" ht="38.25" x14ac:dyDescent="0.25">
      <c r="A343" s="6"/>
      <c r="B343" s="6"/>
      <c r="C343" s="21" t="s">
        <v>26</v>
      </c>
      <c r="D343" s="20" t="s">
        <v>243</v>
      </c>
      <c r="E343" s="15">
        <f>E344+E345</f>
        <v>3917.11</v>
      </c>
      <c r="F343" s="15">
        <f>F344+F345</f>
        <v>3917.09</v>
      </c>
      <c r="G343" s="15" t="s">
        <v>446</v>
      </c>
      <c r="H343" s="15">
        <f>H344+H345</f>
        <v>3917.09</v>
      </c>
    </row>
    <row r="344" spans="1:8" ht="38.25" x14ac:dyDescent="0.25">
      <c r="A344" s="6"/>
      <c r="B344" s="6"/>
      <c r="C344" s="21" t="s">
        <v>216</v>
      </c>
      <c r="D344" s="20" t="s">
        <v>243</v>
      </c>
      <c r="E344" s="15">
        <f>2431.28+1409.33</f>
        <v>3840.61</v>
      </c>
      <c r="F344" s="15">
        <f>2431.26+1409.33</f>
        <v>3840.59</v>
      </c>
      <c r="G344" s="15" t="s">
        <v>446</v>
      </c>
      <c r="H344" s="15">
        <f>2431.26+1409.33</f>
        <v>3840.59</v>
      </c>
    </row>
    <row r="345" spans="1:8" ht="51" x14ac:dyDescent="0.25">
      <c r="A345" s="6"/>
      <c r="B345" s="6"/>
      <c r="C345" s="21" t="s">
        <v>218</v>
      </c>
      <c r="D345" s="20" t="s">
        <v>244</v>
      </c>
      <c r="E345" s="15">
        <f>76.5</f>
        <v>76.5</v>
      </c>
      <c r="F345" s="15">
        <f>76.5</f>
        <v>76.5</v>
      </c>
      <c r="G345" s="15" t="s">
        <v>446</v>
      </c>
      <c r="H345" s="15">
        <f>76.5</f>
        <v>76.5</v>
      </c>
    </row>
    <row r="346" spans="1:8" ht="76.5" x14ac:dyDescent="0.25">
      <c r="A346" s="6"/>
      <c r="B346" s="6"/>
      <c r="C346" s="21" t="s">
        <v>28</v>
      </c>
      <c r="D346" s="20" t="s">
        <v>245</v>
      </c>
      <c r="E346" s="15">
        <f>9180+1020</f>
        <v>10200</v>
      </c>
      <c r="F346" s="15">
        <f>9180+1020</f>
        <v>10200</v>
      </c>
      <c r="G346" s="15" t="s">
        <v>446</v>
      </c>
      <c r="H346" s="15">
        <f>9180+1020</f>
        <v>10200</v>
      </c>
    </row>
    <row r="347" spans="1:8" ht="76.5" x14ac:dyDescent="0.25">
      <c r="A347" s="6"/>
      <c r="B347" s="6"/>
      <c r="C347" s="21" t="s">
        <v>30</v>
      </c>
      <c r="D347" s="20" t="s">
        <v>246</v>
      </c>
      <c r="E347" s="15">
        <f>2912</f>
        <v>2912</v>
      </c>
      <c r="F347" s="15">
        <f>2911.7</f>
        <v>2911.7</v>
      </c>
      <c r="G347" s="15" t="s">
        <v>446</v>
      </c>
      <c r="H347" s="15">
        <f>2911.7</f>
        <v>2911.7</v>
      </c>
    </row>
    <row r="348" spans="1:8" ht="102" x14ac:dyDescent="0.25">
      <c r="A348" s="6"/>
      <c r="B348" s="6"/>
      <c r="C348" s="21" t="s">
        <v>87</v>
      </c>
      <c r="D348" s="20" t="s">
        <v>247</v>
      </c>
      <c r="E348" s="15">
        <f>1853.04+1022</f>
        <v>2875.04</v>
      </c>
      <c r="F348" s="15">
        <f>1825.7+1022</f>
        <v>2847.7</v>
      </c>
      <c r="G348" s="15" t="s">
        <v>446</v>
      </c>
      <c r="H348" s="15">
        <f>1825.7+1022</f>
        <v>2847.7</v>
      </c>
    </row>
    <row r="349" spans="1:8" ht="63.75" x14ac:dyDescent="0.25">
      <c r="A349" s="6"/>
      <c r="B349" s="6"/>
      <c r="C349" s="21" t="s">
        <v>89</v>
      </c>
      <c r="D349" s="20" t="s">
        <v>248</v>
      </c>
      <c r="E349" s="15">
        <f>59.82</f>
        <v>59.82</v>
      </c>
      <c r="F349" s="15">
        <f>59.82</f>
        <v>59.82</v>
      </c>
      <c r="G349" s="15" t="s">
        <v>446</v>
      </c>
      <c r="H349" s="15">
        <f>59.82</f>
        <v>59.82</v>
      </c>
    </row>
    <row r="350" spans="1:8" ht="38.25" x14ac:dyDescent="0.25">
      <c r="A350" s="6"/>
      <c r="B350" s="6"/>
      <c r="C350" s="21" t="s">
        <v>98</v>
      </c>
      <c r="D350" s="20" t="s">
        <v>249</v>
      </c>
      <c r="E350" s="15">
        <f>303.84</f>
        <v>303.83999999999997</v>
      </c>
      <c r="F350" s="15">
        <f>303.83</f>
        <v>303.83</v>
      </c>
      <c r="G350" s="15" t="s">
        <v>446</v>
      </c>
      <c r="H350" s="15">
        <f>303.83</f>
        <v>303.83</v>
      </c>
    </row>
    <row r="351" spans="1:8" ht="76.5" x14ac:dyDescent="0.25">
      <c r="A351" s="6"/>
      <c r="B351" s="6"/>
      <c r="C351" s="21" t="s">
        <v>100</v>
      </c>
      <c r="D351" s="20" t="s">
        <v>250</v>
      </c>
      <c r="E351" s="15">
        <f>2200</f>
        <v>2200</v>
      </c>
      <c r="F351" s="15">
        <f>2200</f>
        <v>2200</v>
      </c>
      <c r="G351" s="15" t="s">
        <v>446</v>
      </c>
      <c r="H351" s="15">
        <f>2200</f>
        <v>2200</v>
      </c>
    </row>
    <row r="352" spans="1:8" ht="38.25" x14ac:dyDescent="0.25">
      <c r="A352" s="6"/>
      <c r="B352" s="6"/>
      <c r="C352" s="21" t="s">
        <v>102</v>
      </c>
      <c r="D352" s="20" t="s">
        <v>251</v>
      </c>
      <c r="E352" s="15">
        <f>988</f>
        <v>988</v>
      </c>
      <c r="F352" s="15">
        <f>988</f>
        <v>988</v>
      </c>
      <c r="G352" s="15" t="s">
        <v>446</v>
      </c>
      <c r="H352" s="15">
        <f>988</f>
        <v>988</v>
      </c>
    </row>
    <row r="353" spans="1:8" ht="38.25" x14ac:dyDescent="0.25">
      <c r="A353" s="6"/>
      <c r="B353" s="6"/>
      <c r="C353" s="20" t="s">
        <v>14</v>
      </c>
      <c r="D353" s="20" t="s">
        <v>252</v>
      </c>
      <c r="E353" s="15">
        <f>E354</f>
        <v>2847.02</v>
      </c>
      <c r="F353" s="15">
        <f>F354</f>
        <v>2847.02</v>
      </c>
      <c r="G353" s="15" t="s">
        <v>446</v>
      </c>
      <c r="H353" s="15">
        <f>H354</f>
        <v>2847.02</v>
      </c>
    </row>
    <row r="354" spans="1:8" ht="38.25" x14ac:dyDescent="0.25">
      <c r="A354" s="6"/>
      <c r="B354" s="6"/>
      <c r="C354" s="21" t="s">
        <v>33</v>
      </c>
      <c r="D354" s="20" t="s">
        <v>253</v>
      </c>
      <c r="E354" s="15">
        <f>2487.02+360</f>
        <v>2847.02</v>
      </c>
      <c r="F354" s="15">
        <f>2487.02+360</f>
        <v>2847.02</v>
      </c>
      <c r="G354" s="15" t="s">
        <v>446</v>
      </c>
      <c r="H354" s="15">
        <f>2487.02+360</f>
        <v>2847.02</v>
      </c>
    </row>
    <row r="355" spans="1:8" ht="38.25" x14ac:dyDescent="0.25">
      <c r="A355" s="6"/>
      <c r="B355" s="6"/>
      <c r="C355" s="19" t="s">
        <v>63</v>
      </c>
      <c r="D355" s="19" t="s">
        <v>254</v>
      </c>
      <c r="E355" s="14">
        <f>E356</f>
        <v>492.5</v>
      </c>
      <c r="F355" s="14">
        <f>F356</f>
        <v>492.5</v>
      </c>
      <c r="G355" s="14" t="s">
        <v>446</v>
      </c>
      <c r="H355" s="14">
        <f>H356</f>
        <v>492.5</v>
      </c>
    </row>
    <row r="356" spans="1:8" ht="76.5" x14ac:dyDescent="0.25">
      <c r="A356" s="6"/>
      <c r="B356" s="6"/>
      <c r="C356" s="20" t="s">
        <v>12</v>
      </c>
      <c r="D356" s="20" t="s">
        <v>255</v>
      </c>
      <c r="E356" s="15">
        <f>E357+E358+E359+E360+E361+E362+E363+E364</f>
        <v>492.5</v>
      </c>
      <c r="F356" s="15">
        <f>F357+F358+F359+F360+F361+F362+F363+F364</f>
        <v>492.5</v>
      </c>
      <c r="G356" s="15" t="s">
        <v>446</v>
      </c>
      <c r="H356" s="15">
        <f>H357+H358+H359+H360+H361+H362+H363+H364</f>
        <v>492.5</v>
      </c>
    </row>
    <row r="357" spans="1:8" ht="38.25" x14ac:dyDescent="0.25">
      <c r="A357" s="6"/>
      <c r="B357" s="6"/>
      <c r="C357" s="21" t="s">
        <v>26</v>
      </c>
      <c r="D357" s="20" t="s">
        <v>256</v>
      </c>
      <c r="E357" s="15">
        <f>492.5</f>
        <v>492.5</v>
      </c>
      <c r="F357" s="15">
        <f>492.5</f>
        <v>492.5</v>
      </c>
      <c r="G357" s="15" t="s">
        <v>446</v>
      </c>
      <c r="H357" s="15">
        <f>492.5</f>
        <v>492.5</v>
      </c>
    </row>
    <row r="358" spans="1:8" ht="51" x14ac:dyDescent="0.25">
      <c r="A358" s="6"/>
      <c r="B358" s="6"/>
      <c r="C358" s="21" t="s">
        <v>28</v>
      </c>
      <c r="D358" s="20" t="s">
        <v>257</v>
      </c>
      <c r="E358" s="15">
        <f>0</f>
        <v>0</v>
      </c>
      <c r="F358" s="15">
        <f>0</f>
        <v>0</v>
      </c>
      <c r="G358" s="15" t="s">
        <v>18</v>
      </c>
      <c r="H358" s="15">
        <f>0</f>
        <v>0</v>
      </c>
    </row>
    <row r="359" spans="1:8" ht="51" x14ac:dyDescent="0.25">
      <c r="A359" s="6"/>
      <c r="B359" s="6"/>
      <c r="C359" s="21" t="s">
        <v>30</v>
      </c>
      <c r="D359" s="20" t="s">
        <v>258</v>
      </c>
      <c r="E359" s="15">
        <f>0</f>
        <v>0</v>
      </c>
      <c r="F359" s="15">
        <f>0</f>
        <v>0</v>
      </c>
      <c r="G359" s="15" t="s">
        <v>18</v>
      </c>
      <c r="H359" s="15">
        <f>0</f>
        <v>0</v>
      </c>
    </row>
    <row r="360" spans="1:8" ht="51" x14ac:dyDescent="0.25">
      <c r="A360" s="6"/>
      <c r="B360" s="6"/>
      <c r="C360" s="21" t="s">
        <v>87</v>
      </c>
      <c r="D360" s="20" t="s">
        <v>259</v>
      </c>
      <c r="E360" s="15">
        <f>0</f>
        <v>0</v>
      </c>
      <c r="F360" s="15">
        <f>0</f>
        <v>0</v>
      </c>
      <c r="G360" s="15" t="s">
        <v>18</v>
      </c>
      <c r="H360" s="15">
        <f>0</f>
        <v>0</v>
      </c>
    </row>
    <row r="361" spans="1:8" ht="153" x14ac:dyDescent="0.25">
      <c r="A361" s="6"/>
      <c r="B361" s="6"/>
      <c r="C361" s="21" t="s">
        <v>89</v>
      </c>
      <c r="D361" s="20" t="s">
        <v>260</v>
      </c>
      <c r="E361" s="15">
        <f>0</f>
        <v>0</v>
      </c>
      <c r="F361" s="15">
        <f>0</f>
        <v>0</v>
      </c>
      <c r="G361" s="15" t="s">
        <v>18</v>
      </c>
      <c r="H361" s="15">
        <f>0</f>
        <v>0</v>
      </c>
    </row>
    <row r="362" spans="1:8" ht="51" x14ac:dyDescent="0.25">
      <c r="A362" s="6"/>
      <c r="B362" s="6"/>
      <c r="C362" s="21" t="s">
        <v>98</v>
      </c>
      <c r="D362" s="20" t="s">
        <v>261</v>
      </c>
      <c r="E362" s="15">
        <f>0</f>
        <v>0</v>
      </c>
      <c r="F362" s="15">
        <f>0</f>
        <v>0</v>
      </c>
      <c r="G362" s="15" t="s">
        <v>18</v>
      </c>
      <c r="H362" s="15">
        <f>0</f>
        <v>0</v>
      </c>
    </row>
    <row r="363" spans="1:8" ht="51" x14ac:dyDescent="0.25">
      <c r="A363" s="6"/>
      <c r="B363" s="6"/>
      <c r="C363" s="21" t="s">
        <v>100</v>
      </c>
      <c r="D363" s="20" t="s">
        <v>262</v>
      </c>
      <c r="E363" s="15">
        <f>0</f>
        <v>0</v>
      </c>
      <c r="F363" s="15">
        <f>0</f>
        <v>0</v>
      </c>
      <c r="G363" s="15" t="s">
        <v>18</v>
      </c>
      <c r="H363" s="15">
        <f>0</f>
        <v>0</v>
      </c>
    </row>
    <row r="364" spans="1:8" ht="89.25" x14ac:dyDescent="0.25">
      <c r="A364" s="6"/>
      <c r="B364" s="6"/>
      <c r="C364" s="21" t="s">
        <v>102</v>
      </c>
      <c r="D364" s="20" t="s">
        <v>263</v>
      </c>
      <c r="E364" s="15">
        <f>0</f>
        <v>0</v>
      </c>
      <c r="F364" s="15">
        <f>0</f>
        <v>0</v>
      </c>
      <c r="G364" s="15" t="s">
        <v>18</v>
      </c>
      <c r="H364" s="15">
        <f>0</f>
        <v>0</v>
      </c>
    </row>
    <row r="365" spans="1:8" ht="38.25" x14ac:dyDescent="0.25">
      <c r="A365" s="6"/>
      <c r="B365" s="6"/>
      <c r="C365" s="19" t="s">
        <v>82</v>
      </c>
      <c r="D365" s="19" t="s">
        <v>264</v>
      </c>
      <c r="E365" s="14">
        <f>E366+E369</f>
        <v>37314</v>
      </c>
      <c r="F365" s="14">
        <f>F366+F369</f>
        <v>36662.619999999995</v>
      </c>
      <c r="G365" s="14" t="s">
        <v>1207</v>
      </c>
      <c r="H365" s="14">
        <f>H366+H369</f>
        <v>36662.619999999995</v>
      </c>
    </row>
    <row r="366" spans="1:8" ht="63.75" x14ac:dyDescent="0.25">
      <c r="A366" s="6"/>
      <c r="B366" s="6"/>
      <c r="C366" s="20" t="s">
        <v>12</v>
      </c>
      <c r="D366" s="20" t="s">
        <v>265</v>
      </c>
      <c r="E366" s="15">
        <f>E367+E368</f>
        <v>34143</v>
      </c>
      <c r="F366" s="15">
        <f>F367+F368</f>
        <v>33533.1</v>
      </c>
      <c r="G366" s="15" t="s">
        <v>1207</v>
      </c>
      <c r="H366" s="15">
        <f>H367+H368</f>
        <v>33533.1</v>
      </c>
    </row>
    <row r="367" spans="1:8" ht="38.25" x14ac:dyDescent="0.25">
      <c r="A367" s="6"/>
      <c r="B367" s="6"/>
      <c r="C367" s="21" t="s">
        <v>26</v>
      </c>
      <c r="D367" s="20" t="s">
        <v>266</v>
      </c>
      <c r="E367" s="15">
        <f>33886.87</f>
        <v>33886.870000000003</v>
      </c>
      <c r="F367" s="15">
        <f>33283.67</f>
        <v>33283.67</v>
      </c>
      <c r="G367" s="15" t="s">
        <v>1207</v>
      </c>
      <c r="H367" s="15">
        <f>33283.67</f>
        <v>33283.67</v>
      </c>
    </row>
    <row r="368" spans="1:8" ht="38.25" x14ac:dyDescent="0.25">
      <c r="A368" s="6"/>
      <c r="B368" s="6"/>
      <c r="C368" s="21" t="s">
        <v>28</v>
      </c>
      <c r="D368" s="20" t="s">
        <v>267</v>
      </c>
      <c r="E368" s="15">
        <f>256.13</f>
        <v>256.13</v>
      </c>
      <c r="F368" s="15">
        <f>249.43</f>
        <v>249.43</v>
      </c>
      <c r="G368" s="15" t="s">
        <v>1208</v>
      </c>
      <c r="H368" s="15">
        <f>249.43</f>
        <v>249.43</v>
      </c>
    </row>
    <row r="369" spans="1:8" ht="76.5" x14ac:dyDescent="0.25">
      <c r="A369" s="6"/>
      <c r="B369" s="6"/>
      <c r="C369" s="20" t="s">
        <v>14</v>
      </c>
      <c r="D369" s="20" t="s">
        <v>268</v>
      </c>
      <c r="E369" s="15">
        <f>E370</f>
        <v>3171</v>
      </c>
      <c r="F369" s="15">
        <f>F370</f>
        <v>3129.52</v>
      </c>
      <c r="G369" s="15" t="s">
        <v>1209</v>
      </c>
      <c r="H369" s="15">
        <f>H370</f>
        <v>3129.52</v>
      </c>
    </row>
    <row r="370" spans="1:8" ht="38.25" x14ac:dyDescent="0.25">
      <c r="A370" s="6"/>
      <c r="B370" s="6"/>
      <c r="C370" s="21" t="s">
        <v>33</v>
      </c>
      <c r="D370" s="20" t="s">
        <v>269</v>
      </c>
      <c r="E370" s="15">
        <f>3171</f>
        <v>3171</v>
      </c>
      <c r="F370" s="15">
        <f>3129.52</f>
        <v>3129.52</v>
      </c>
      <c r="G370" s="15" t="s">
        <v>1209</v>
      </c>
      <c r="H370" s="15">
        <f>3129.52</f>
        <v>3129.52</v>
      </c>
    </row>
    <row r="371" spans="1:8" ht="38.25" x14ac:dyDescent="0.25">
      <c r="A371" s="6"/>
      <c r="B371" s="6"/>
      <c r="C371" s="19" t="s">
        <v>207</v>
      </c>
      <c r="D371" s="19" t="s">
        <v>270</v>
      </c>
      <c r="E371" s="14">
        <f>E372+E374+E379+E381</f>
        <v>12968</v>
      </c>
      <c r="F371" s="14">
        <f>F372+F374+F379+F381</f>
        <v>8692.11</v>
      </c>
      <c r="G371" s="14" t="s">
        <v>1210</v>
      </c>
      <c r="H371" s="14">
        <f>H372+H374+H379+H381</f>
        <v>8692.11</v>
      </c>
    </row>
    <row r="372" spans="1:8" ht="63.75" x14ac:dyDescent="0.25">
      <c r="A372" s="6"/>
      <c r="B372" s="6"/>
      <c r="C372" s="20" t="s">
        <v>12</v>
      </c>
      <c r="D372" s="20" t="s">
        <v>271</v>
      </c>
      <c r="E372" s="15">
        <f>E373</f>
        <v>0</v>
      </c>
      <c r="F372" s="15">
        <f>F373</f>
        <v>0</v>
      </c>
      <c r="G372" s="15" t="s">
        <v>18</v>
      </c>
      <c r="H372" s="15">
        <f>H373</f>
        <v>0</v>
      </c>
    </row>
    <row r="373" spans="1:8" ht="51" x14ac:dyDescent="0.25">
      <c r="A373" s="6"/>
      <c r="B373" s="6"/>
      <c r="C373" s="21" t="s">
        <v>26</v>
      </c>
      <c r="D373" s="20" t="s">
        <v>272</v>
      </c>
      <c r="E373" s="15">
        <f>0</f>
        <v>0</v>
      </c>
      <c r="F373" s="15">
        <f>0</f>
        <v>0</v>
      </c>
      <c r="G373" s="15" t="s">
        <v>18</v>
      </c>
      <c r="H373" s="15">
        <f>0</f>
        <v>0</v>
      </c>
    </row>
    <row r="374" spans="1:8" ht="51" x14ac:dyDescent="0.25">
      <c r="A374" s="6"/>
      <c r="B374" s="6"/>
      <c r="C374" s="20" t="s">
        <v>14</v>
      </c>
      <c r="D374" s="20" t="s">
        <v>273</v>
      </c>
      <c r="E374" s="15">
        <f>E375+E376+E377+E378</f>
        <v>480</v>
      </c>
      <c r="F374" s="15">
        <f>F375+F376+F377+F378</f>
        <v>480</v>
      </c>
      <c r="G374" s="15" t="s">
        <v>1198</v>
      </c>
      <c r="H374" s="15">
        <f>H375+H376+H377+H378</f>
        <v>480</v>
      </c>
    </row>
    <row r="375" spans="1:8" ht="51" x14ac:dyDescent="0.25">
      <c r="A375" s="6"/>
      <c r="B375" s="6"/>
      <c r="C375" s="21" t="s">
        <v>33</v>
      </c>
      <c r="D375" s="20" t="s">
        <v>274</v>
      </c>
      <c r="E375" s="15">
        <f>0</f>
        <v>0</v>
      </c>
      <c r="F375" s="15">
        <f>0</f>
        <v>0</v>
      </c>
      <c r="G375" s="15" t="s">
        <v>18</v>
      </c>
      <c r="H375" s="15">
        <f>0</f>
        <v>0</v>
      </c>
    </row>
    <row r="376" spans="1:8" ht="51" x14ac:dyDescent="0.25">
      <c r="A376" s="6"/>
      <c r="B376" s="6"/>
      <c r="C376" s="21" t="s">
        <v>35</v>
      </c>
      <c r="D376" s="20" t="s">
        <v>275</v>
      </c>
      <c r="E376" s="15">
        <f>0</f>
        <v>0</v>
      </c>
      <c r="F376" s="15">
        <f>0</f>
        <v>0</v>
      </c>
      <c r="G376" s="15" t="s">
        <v>18</v>
      </c>
      <c r="H376" s="15">
        <f>0</f>
        <v>0</v>
      </c>
    </row>
    <row r="377" spans="1:8" ht="38.25" x14ac:dyDescent="0.25">
      <c r="A377" s="6"/>
      <c r="B377" s="6"/>
      <c r="C377" s="21" t="s">
        <v>276</v>
      </c>
      <c r="D377" s="20" t="s">
        <v>277</v>
      </c>
      <c r="E377" s="15">
        <f>480</f>
        <v>480</v>
      </c>
      <c r="F377" s="15">
        <f>480</f>
        <v>480</v>
      </c>
      <c r="G377" s="15" t="s">
        <v>1198</v>
      </c>
      <c r="H377" s="15">
        <f>480</f>
        <v>480</v>
      </c>
    </row>
    <row r="378" spans="1:8" ht="51" x14ac:dyDescent="0.25">
      <c r="A378" s="6"/>
      <c r="B378" s="6"/>
      <c r="C378" s="21" t="s">
        <v>278</v>
      </c>
      <c r="D378" s="20" t="s">
        <v>279</v>
      </c>
      <c r="E378" s="15">
        <f>0</f>
        <v>0</v>
      </c>
      <c r="F378" s="15">
        <f>0</f>
        <v>0</v>
      </c>
      <c r="G378" s="15" t="s">
        <v>18</v>
      </c>
      <c r="H378" s="15">
        <f>0</f>
        <v>0</v>
      </c>
    </row>
    <row r="379" spans="1:8" ht="38.25" x14ac:dyDescent="0.25">
      <c r="A379" s="6"/>
      <c r="B379" s="6"/>
      <c r="C379" s="20" t="s">
        <v>16</v>
      </c>
      <c r="D379" s="20" t="s">
        <v>280</v>
      </c>
      <c r="E379" s="15">
        <f>E380</f>
        <v>12488</v>
      </c>
      <c r="F379" s="15">
        <f>F380</f>
        <v>8212.11</v>
      </c>
      <c r="G379" s="15" t="s">
        <v>1211</v>
      </c>
      <c r="H379" s="15">
        <f>H380</f>
        <v>8212.11</v>
      </c>
    </row>
    <row r="380" spans="1:8" ht="38.25" x14ac:dyDescent="0.25">
      <c r="A380" s="6"/>
      <c r="B380" s="6"/>
      <c r="C380" s="21" t="s">
        <v>38</v>
      </c>
      <c r="D380" s="20" t="s">
        <v>281</v>
      </c>
      <c r="E380" s="15">
        <f>12488</f>
        <v>12488</v>
      </c>
      <c r="F380" s="15">
        <f>8212.11</f>
        <v>8212.11</v>
      </c>
      <c r="G380" s="15" t="s">
        <v>1211</v>
      </c>
      <c r="H380" s="15">
        <f>8212.11</f>
        <v>8212.11</v>
      </c>
    </row>
    <row r="381" spans="1:8" ht="51" x14ac:dyDescent="0.25">
      <c r="A381" s="6"/>
      <c r="B381" s="6"/>
      <c r="C381" s="20" t="s">
        <v>19</v>
      </c>
      <c r="D381" s="20" t="s">
        <v>282</v>
      </c>
      <c r="E381" s="15">
        <f>E382+E383</f>
        <v>0</v>
      </c>
      <c r="F381" s="15">
        <f>F382+F383</f>
        <v>0</v>
      </c>
      <c r="G381" s="15" t="s">
        <v>18</v>
      </c>
      <c r="H381" s="15">
        <f>H382+H383</f>
        <v>0</v>
      </c>
    </row>
    <row r="382" spans="1:8" ht="51" x14ac:dyDescent="0.25">
      <c r="A382" s="6"/>
      <c r="B382" s="6"/>
      <c r="C382" s="21" t="s">
        <v>195</v>
      </c>
      <c r="D382" s="20" t="s">
        <v>283</v>
      </c>
      <c r="E382" s="15">
        <f>0</f>
        <v>0</v>
      </c>
      <c r="F382" s="15">
        <f>0</f>
        <v>0</v>
      </c>
      <c r="G382" s="15" t="s">
        <v>18</v>
      </c>
      <c r="H382" s="15">
        <f>0</f>
        <v>0</v>
      </c>
    </row>
    <row r="383" spans="1:8" ht="51" x14ac:dyDescent="0.25">
      <c r="A383" s="6"/>
      <c r="B383" s="6"/>
      <c r="C383" s="21" t="s">
        <v>284</v>
      </c>
      <c r="D383" s="20" t="s">
        <v>285</v>
      </c>
      <c r="E383" s="15">
        <f>0</f>
        <v>0</v>
      </c>
      <c r="F383" s="15">
        <f>0</f>
        <v>0</v>
      </c>
      <c r="G383" s="15" t="s">
        <v>18</v>
      </c>
      <c r="H383" s="15">
        <f>0</f>
        <v>0</v>
      </c>
    </row>
    <row r="384" spans="1:8" ht="51" x14ac:dyDescent="0.25">
      <c r="A384" s="6"/>
      <c r="B384" s="6"/>
      <c r="C384" s="19" t="s">
        <v>213</v>
      </c>
      <c r="D384" s="19" t="s">
        <v>286</v>
      </c>
      <c r="E384" s="14">
        <f>E385</f>
        <v>0</v>
      </c>
      <c r="F384" s="14">
        <f>F385</f>
        <v>0</v>
      </c>
      <c r="G384" s="14" t="s">
        <v>18</v>
      </c>
      <c r="H384" s="14">
        <f>H385</f>
        <v>0</v>
      </c>
    </row>
    <row r="385" spans="1:8" ht="51" x14ac:dyDescent="0.25">
      <c r="A385" s="6"/>
      <c r="B385" s="6"/>
      <c r="C385" s="20" t="s">
        <v>12</v>
      </c>
      <c r="D385" s="20" t="s">
        <v>287</v>
      </c>
      <c r="E385" s="15">
        <f>E386+E387+E388+E389+E390+E391+E392+E393+E394+E395+E396</f>
        <v>0</v>
      </c>
      <c r="F385" s="15">
        <f>F386+F387+F388+F389+F390+F391+F392+F393+F394+F395+F396</f>
        <v>0</v>
      </c>
      <c r="G385" s="15" t="s">
        <v>18</v>
      </c>
      <c r="H385" s="15">
        <f>H386+H387+H388+H389+H390+H391+H392+H393+H394+H395+H396</f>
        <v>0</v>
      </c>
    </row>
    <row r="386" spans="1:8" ht="51" x14ac:dyDescent="0.25">
      <c r="A386" s="6"/>
      <c r="B386" s="6"/>
      <c r="C386" s="21" t="s">
        <v>26</v>
      </c>
      <c r="D386" s="20" t="s">
        <v>288</v>
      </c>
      <c r="E386" s="15">
        <f>0</f>
        <v>0</v>
      </c>
      <c r="F386" s="15">
        <f>0</f>
        <v>0</v>
      </c>
      <c r="G386" s="15" t="s">
        <v>18</v>
      </c>
      <c r="H386" s="15">
        <f>0</f>
        <v>0</v>
      </c>
    </row>
    <row r="387" spans="1:8" ht="51" x14ac:dyDescent="0.25">
      <c r="A387" s="6"/>
      <c r="B387" s="6"/>
      <c r="C387" s="21" t="s">
        <v>28</v>
      </c>
      <c r="D387" s="20" t="s">
        <v>289</v>
      </c>
      <c r="E387" s="15">
        <f>0</f>
        <v>0</v>
      </c>
      <c r="F387" s="15">
        <f>0</f>
        <v>0</v>
      </c>
      <c r="G387" s="15" t="s">
        <v>18</v>
      </c>
      <c r="H387" s="15">
        <f>0</f>
        <v>0</v>
      </c>
    </row>
    <row r="388" spans="1:8" ht="51" x14ac:dyDescent="0.25">
      <c r="A388" s="6"/>
      <c r="B388" s="6"/>
      <c r="C388" s="21" t="s">
        <v>30</v>
      </c>
      <c r="D388" s="20" t="s">
        <v>290</v>
      </c>
      <c r="E388" s="15">
        <f>0</f>
        <v>0</v>
      </c>
      <c r="F388" s="15">
        <f>0</f>
        <v>0</v>
      </c>
      <c r="G388" s="15" t="s">
        <v>18</v>
      </c>
      <c r="H388" s="15">
        <f>0</f>
        <v>0</v>
      </c>
    </row>
    <row r="389" spans="1:8" ht="51" x14ac:dyDescent="0.25">
      <c r="A389" s="6"/>
      <c r="B389" s="6"/>
      <c r="C389" s="21" t="s">
        <v>87</v>
      </c>
      <c r="D389" s="20" t="s">
        <v>291</v>
      </c>
      <c r="E389" s="15">
        <f>0</f>
        <v>0</v>
      </c>
      <c r="F389" s="15">
        <f>0</f>
        <v>0</v>
      </c>
      <c r="G389" s="15" t="s">
        <v>18</v>
      </c>
      <c r="H389" s="15">
        <f>0</f>
        <v>0</v>
      </c>
    </row>
    <row r="390" spans="1:8" ht="51" x14ac:dyDescent="0.25">
      <c r="A390" s="6"/>
      <c r="B390" s="6"/>
      <c r="C390" s="21" t="s">
        <v>89</v>
      </c>
      <c r="D390" s="20" t="s">
        <v>292</v>
      </c>
      <c r="E390" s="15">
        <f>0</f>
        <v>0</v>
      </c>
      <c r="F390" s="15">
        <f>0</f>
        <v>0</v>
      </c>
      <c r="G390" s="15" t="s">
        <v>18</v>
      </c>
      <c r="H390" s="15">
        <f>0</f>
        <v>0</v>
      </c>
    </row>
    <row r="391" spans="1:8" ht="51" x14ac:dyDescent="0.25">
      <c r="A391" s="6"/>
      <c r="B391" s="6"/>
      <c r="C391" s="21" t="s">
        <v>98</v>
      </c>
      <c r="D391" s="20" t="s">
        <v>293</v>
      </c>
      <c r="E391" s="15">
        <f>0</f>
        <v>0</v>
      </c>
      <c r="F391" s="15">
        <f>0</f>
        <v>0</v>
      </c>
      <c r="G391" s="15" t="s">
        <v>18</v>
      </c>
      <c r="H391" s="15">
        <f>0</f>
        <v>0</v>
      </c>
    </row>
    <row r="392" spans="1:8" ht="51" x14ac:dyDescent="0.25">
      <c r="A392" s="6"/>
      <c r="B392" s="6"/>
      <c r="C392" s="21" t="s">
        <v>100</v>
      </c>
      <c r="D392" s="20" t="s">
        <v>294</v>
      </c>
      <c r="E392" s="15">
        <f>0</f>
        <v>0</v>
      </c>
      <c r="F392" s="15">
        <f>0</f>
        <v>0</v>
      </c>
      <c r="G392" s="15" t="s">
        <v>18</v>
      </c>
      <c r="H392" s="15">
        <f>0</f>
        <v>0</v>
      </c>
    </row>
    <row r="393" spans="1:8" ht="51" x14ac:dyDescent="0.25">
      <c r="A393" s="6"/>
      <c r="B393" s="6"/>
      <c r="C393" s="21" t="s">
        <v>102</v>
      </c>
      <c r="D393" s="20" t="s">
        <v>295</v>
      </c>
      <c r="E393" s="15">
        <f>0</f>
        <v>0</v>
      </c>
      <c r="F393" s="15">
        <f>0</f>
        <v>0</v>
      </c>
      <c r="G393" s="15" t="s">
        <v>18</v>
      </c>
      <c r="H393" s="15">
        <f>0</f>
        <v>0</v>
      </c>
    </row>
    <row r="394" spans="1:8" ht="51" x14ac:dyDescent="0.25">
      <c r="A394" s="6"/>
      <c r="B394" s="6"/>
      <c r="C394" s="21" t="s">
        <v>104</v>
      </c>
      <c r="D394" s="20" t="s">
        <v>296</v>
      </c>
      <c r="E394" s="15">
        <f>0</f>
        <v>0</v>
      </c>
      <c r="F394" s="15">
        <f>0</f>
        <v>0</v>
      </c>
      <c r="G394" s="15" t="s">
        <v>18</v>
      </c>
      <c r="H394" s="15">
        <f>0</f>
        <v>0</v>
      </c>
    </row>
    <row r="395" spans="1:8" ht="51" x14ac:dyDescent="0.25">
      <c r="A395" s="6"/>
      <c r="B395" s="6"/>
      <c r="C395" s="21" t="s">
        <v>106</v>
      </c>
      <c r="D395" s="20" t="s">
        <v>297</v>
      </c>
      <c r="E395" s="15">
        <f>0</f>
        <v>0</v>
      </c>
      <c r="F395" s="15">
        <f>0</f>
        <v>0</v>
      </c>
      <c r="G395" s="15" t="s">
        <v>18</v>
      </c>
      <c r="H395" s="15">
        <f>0</f>
        <v>0</v>
      </c>
    </row>
    <row r="396" spans="1:8" ht="51" x14ac:dyDescent="0.25">
      <c r="A396" s="6"/>
      <c r="B396" s="6"/>
      <c r="C396" s="21" t="s">
        <v>108</v>
      </c>
      <c r="D396" s="20" t="s">
        <v>298</v>
      </c>
      <c r="E396" s="15">
        <f>0</f>
        <v>0</v>
      </c>
      <c r="F396" s="15">
        <f>0</f>
        <v>0</v>
      </c>
      <c r="G396" s="15" t="s">
        <v>18</v>
      </c>
      <c r="H396" s="15">
        <f>0</f>
        <v>0</v>
      </c>
    </row>
    <row r="397" spans="1:8" ht="51" x14ac:dyDescent="0.25">
      <c r="A397" s="6"/>
      <c r="B397" s="6"/>
      <c r="C397" s="19" t="s">
        <v>222</v>
      </c>
      <c r="D397" s="19" t="s">
        <v>299</v>
      </c>
      <c r="E397" s="14">
        <f>E398+E406</f>
        <v>0</v>
      </c>
      <c r="F397" s="14">
        <f>F398+F406</f>
        <v>0</v>
      </c>
      <c r="G397" s="14" t="s">
        <v>18</v>
      </c>
      <c r="H397" s="14">
        <f>H398+H406</f>
        <v>0</v>
      </c>
    </row>
    <row r="398" spans="1:8" ht="51" x14ac:dyDescent="0.25">
      <c r="A398" s="6"/>
      <c r="B398" s="6"/>
      <c r="C398" s="20" t="s">
        <v>12</v>
      </c>
      <c r="D398" s="20" t="s">
        <v>300</v>
      </c>
      <c r="E398" s="15">
        <f>E399+E400+E401+E402+E403+E404+E405</f>
        <v>0</v>
      </c>
      <c r="F398" s="15">
        <f>F399+F400+F401+F402+F403+F404+F405</f>
        <v>0</v>
      </c>
      <c r="G398" s="15" t="s">
        <v>18</v>
      </c>
      <c r="H398" s="15">
        <f>H399+H400+H401+H402+H403+H404+H405</f>
        <v>0</v>
      </c>
    </row>
    <row r="399" spans="1:8" ht="63.75" x14ac:dyDescent="0.25">
      <c r="A399" s="6"/>
      <c r="B399" s="6"/>
      <c r="C399" s="21" t="s">
        <v>26</v>
      </c>
      <c r="D399" s="20" t="s">
        <v>301</v>
      </c>
      <c r="E399" s="15">
        <f>0</f>
        <v>0</v>
      </c>
      <c r="F399" s="15">
        <f>0</f>
        <v>0</v>
      </c>
      <c r="G399" s="15" t="s">
        <v>18</v>
      </c>
      <c r="H399" s="15">
        <f>0</f>
        <v>0</v>
      </c>
    </row>
    <row r="400" spans="1:8" ht="51" x14ac:dyDescent="0.25">
      <c r="A400" s="6"/>
      <c r="B400" s="6"/>
      <c r="C400" s="21" t="s">
        <v>28</v>
      </c>
      <c r="D400" s="20" t="s">
        <v>302</v>
      </c>
      <c r="E400" s="15">
        <f>0</f>
        <v>0</v>
      </c>
      <c r="F400" s="15">
        <f>0</f>
        <v>0</v>
      </c>
      <c r="G400" s="15" t="s">
        <v>18</v>
      </c>
      <c r="H400" s="15">
        <f>0</f>
        <v>0</v>
      </c>
    </row>
    <row r="401" spans="1:8" ht="76.5" x14ac:dyDescent="0.25">
      <c r="A401" s="6"/>
      <c r="B401" s="6"/>
      <c r="C401" s="21" t="s">
        <v>30</v>
      </c>
      <c r="D401" s="20" t="s">
        <v>303</v>
      </c>
      <c r="E401" s="15">
        <f>0</f>
        <v>0</v>
      </c>
      <c r="F401" s="15">
        <f>0</f>
        <v>0</v>
      </c>
      <c r="G401" s="15" t="s">
        <v>18</v>
      </c>
      <c r="H401" s="15">
        <f>0</f>
        <v>0</v>
      </c>
    </row>
    <row r="402" spans="1:8" ht="51" x14ac:dyDescent="0.25">
      <c r="A402" s="6"/>
      <c r="B402" s="6"/>
      <c r="C402" s="21" t="s">
        <v>87</v>
      </c>
      <c r="D402" s="20" t="s">
        <v>304</v>
      </c>
      <c r="E402" s="15">
        <f>0</f>
        <v>0</v>
      </c>
      <c r="F402" s="15">
        <f>0</f>
        <v>0</v>
      </c>
      <c r="G402" s="15" t="s">
        <v>18</v>
      </c>
      <c r="H402" s="15">
        <f>0</f>
        <v>0</v>
      </c>
    </row>
    <row r="403" spans="1:8" ht="89.25" x14ac:dyDescent="0.25">
      <c r="A403" s="6"/>
      <c r="B403" s="6"/>
      <c r="C403" s="21" t="s">
        <v>89</v>
      </c>
      <c r="D403" s="20" t="s">
        <v>305</v>
      </c>
      <c r="E403" s="15">
        <f>0</f>
        <v>0</v>
      </c>
      <c r="F403" s="15">
        <f>0</f>
        <v>0</v>
      </c>
      <c r="G403" s="15" t="s">
        <v>18</v>
      </c>
      <c r="H403" s="15">
        <f>0</f>
        <v>0</v>
      </c>
    </row>
    <row r="404" spans="1:8" ht="76.5" x14ac:dyDescent="0.25">
      <c r="A404" s="6"/>
      <c r="B404" s="6"/>
      <c r="C404" s="21" t="s">
        <v>98</v>
      </c>
      <c r="D404" s="20" t="s">
        <v>306</v>
      </c>
      <c r="E404" s="15">
        <f>0</f>
        <v>0</v>
      </c>
      <c r="F404" s="15">
        <f>0</f>
        <v>0</v>
      </c>
      <c r="G404" s="15" t="s">
        <v>18</v>
      </c>
      <c r="H404" s="15">
        <f>0</f>
        <v>0</v>
      </c>
    </row>
    <row r="405" spans="1:8" ht="51" x14ac:dyDescent="0.25">
      <c r="A405" s="6"/>
      <c r="B405" s="6"/>
      <c r="C405" s="21" t="s">
        <v>100</v>
      </c>
      <c r="D405" s="20" t="s">
        <v>307</v>
      </c>
      <c r="E405" s="15">
        <f>0</f>
        <v>0</v>
      </c>
      <c r="F405" s="15">
        <f>0</f>
        <v>0</v>
      </c>
      <c r="G405" s="15" t="s">
        <v>18</v>
      </c>
      <c r="H405" s="15">
        <f>0</f>
        <v>0</v>
      </c>
    </row>
    <row r="406" spans="1:8" ht="63.75" x14ac:dyDescent="0.25">
      <c r="A406" s="6"/>
      <c r="B406" s="6"/>
      <c r="C406" s="20" t="s">
        <v>14</v>
      </c>
      <c r="D406" s="20" t="s">
        <v>308</v>
      </c>
      <c r="E406" s="15">
        <f>E407+E408</f>
        <v>0</v>
      </c>
      <c r="F406" s="15">
        <f>F407+F408</f>
        <v>0</v>
      </c>
      <c r="G406" s="15" t="s">
        <v>18</v>
      </c>
      <c r="H406" s="15">
        <f>H407+H408</f>
        <v>0</v>
      </c>
    </row>
    <row r="407" spans="1:8" ht="51" x14ac:dyDescent="0.25">
      <c r="A407" s="6"/>
      <c r="B407" s="6"/>
      <c r="C407" s="21" t="s">
        <v>33</v>
      </c>
      <c r="D407" s="20" t="s">
        <v>309</v>
      </c>
      <c r="E407" s="15">
        <f>0</f>
        <v>0</v>
      </c>
      <c r="F407" s="15">
        <f>0</f>
        <v>0</v>
      </c>
      <c r="G407" s="15" t="s">
        <v>18</v>
      </c>
      <c r="H407" s="15">
        <f>0</f>
        <v>0</v>
      </c>
    </row>
    <row r="408" spans="1:8" ht="114.75" x14ac:dyDescent="0.25">
      <c r="A408" s="6"/>
      <c r="B408" s="6"/>
      <c r="C408" s="21" t="s">
        <v>35</v>
      </c>
      <c r="D408" s="20" t="s">
        <v>310</v>
      </c>
      <c r="E408" s="15">
        <f>0</f>
        <v>0</v>
      </c>
      <c r="F408" s="15">
        <f>0</f>
        <v>0</v>
      </c>
      <c r="G408" s="15" t="s">
        <v>18</v>
      </c>
      <c r="H408" s="15">
        <f>0</f>
        <v>0</v>
      </c>
    </row>
    <row r="409" spans="1:8" ht="18.75" customHeight="1" x14ac:dyDescent="0.25">
      <c r="A409" s="6"/>
      <c r="B409" s="6"/>
      <c r="C409" s="22" t="s">
        <v>90</v>
      </c>
      <c r="D409" s="22"/>
      <c r="E409" s="16">
        <f>E332+E341+E355+E365+E371+E384+E397</f>
        <v>81085.73000000001</v>
      </c>
      <c r="F409" s="16">
        <f>F332+F341+F355+F365+F371+F384+F397</f>
        <v>76130.78</v>
      </c>
      <c r="G409" s="25" t="s">
        <v>1212</v>
      </c>
      <c r="H409" s="16">
        <f>H332+H341+H355+H365+H371+H384+H397</f>
        <v>76130.78</v>
      </c>
    </row>
    <row r="410" spans="1:8" ht="38.25" x14ac:dyDescent="0.25">
      <c r="A410" s="6">
        <v>5</v>
      </c>
      <c r="B410" s="6" t="s">
        <v>311</v>
      </c>
      <c r="C410" s="19" t="s">
        <v>10</v>
      </c>
      <c r="D410" s="19" t="s">
        <v>312</v>
      </c>
      <c r="E410" s="14">
        <f>E411</f>
        <v>4684.55</v>
      </c>
      <c r="F410" s="14">
        <f>F411</f>
        <v>4684.5300000000007</v>
      </c>
      <c r="G410" s="14" t="s">
        <v>446</v>
      </c>
      <c r="H410" s="14">
        <f>H411</f>
        <v>4684.5300000000007</v>
      </c>
    </row>
    <row r="411" spans="1:8" ht="38.25" x14ac:dyDescent="0.25">
      <c r="A411" s="6"/>
      <c r="B411" s="6"/>
      <c r="C411" s="20" t="s">
        <v>12</v>
      </c>
      <c r="D411" s="20" t="s">
        <v>313</v>
      </c>
      <c r="E411" s="15">
        <f>E412+E413+E414+E415+E416+E417</f>
        <v>4684.55</v>
      </c>
      <c r="F411" s="15">
        <f>F412+F413+F414+F415+F416+F417</f>
        <v>4684.5300000000007</v>
      </c>
      <c r="G411" s="15" t="s">
        <v>446</v>
      </c>
      <c r="H411" s="15">
        <f>H412+H413+H414+H415+H416+H417</f>
        <v>4684.5300000000007</v>
      </c>
    </row>
    <row r="412" spans="1:8" ht="38.25" x14ac:dyDescent="0.25">
      <c r="A412" s="6"/>
      <c r="B412" s="6"/>
      <c r="C412" s="21" t="s">
        <v>26</v>
      </c>
      <c r="D412" s="20" t="s">
        <v>314</v>
      </c>
      <c r="E412" s="15">
        <f>3091.8</f>
        <v>3091.8</v>
      </c>
      <c r="F412" s="15">
        <f>3091.78</f>
        <v>3091.78</v>
      </c>
      <c r="G412" s="15" t="s">
        <v>446</v>
      </c>
      <c r="H412" s="15">
        <f>3091.78</f>
        <v>3091.78</v>
      </c>
    </row>
    <row r="413" spans="1:8" ht="51" x14ac:dyDescent="0.25">
      <c r="A413" s="6"/>
      <c r="B413" s="6"/>
      <c r="C413" s="21" t="s">
        <v>28</v>
      </c>
      <c r="D413" s="20" t="s">
        <v>315</v>
      </c>
      <c r="E413" s="15">
        <f>0</f>
        <v>0</v>
      </c>
      <c r="F413" s="15">
        <f>0</f>
        <v>0</v>
      </c>
      <c r="G413" s="15" t="s">
        <v>18</v>
      </c>
      <c r="H413" s="15">
        <f>0</f>
        <v>0</v>
      </c>
    </row>
    <row r="414" spans="1:8" ht="51" x14ac:dyDescent="0.25">
      <c r="A414" s="6"/>
      <c r="B414" s="6"/>
      <c r="C414" s="21" t="s">
        <v>30</v>
      </c>
      <c r="D414" s="20" t="s">
        <v>316</v>
      </c>
      <c r="E414" s="15">
        <f>0</f>
        <v>0</v>
      </c>
      <c r="F414" s="15">
        <f>0</f>
        <v>0</v>
      </c>
      <c r="G414" s="15" t="s">
        <v>18</v>
      </c>
      <c r="H414" s="15">
        <f>0</f>
        <v>0</v>
      </c>
    </row>
    <row r="415" spans="1:8" ht="38.25" x14ac:dyDescent="0.25">
      <c r="A415" s="6"/>
      <c r="B415" s="6"/>
      <c r="C415" s="21" t="s">
        <v>87</v>
      </c>
      <c r="D415" s="20" t="s">
        <v>317</v>
      </c>
      <c r="E415" s="15">
        <f>492.75</f>
        <v>492.75</v>
      </c>
      <c r="F415" s="15">
        <f>492.75</f>
        <v>492.75</v>
      </c>
      <c r="G415" s="15" t="s">
        <v>446</v>
      </c>
      <c r="H415" s="15">
        <f>492.75</f>
        <v>492.75</v>
      </c>
    </row>
    <row r="416" spans="1:8" ht="51" x14ac:dyDescent="0.25">
      <c r="A416" s="6"/>
      <c r="B416" s="6"/>
      <c r="C416" s="21" t="s">
        <v>89</v>
      </c>
      <c r="D416" s="20" t="s">
        <v>318</v>
      </c>
      <c r="E416" s="15">
        <f>0</f>
        <v>0</v>
      </c>
      <c r="F416" s="15">
        <f>0</f>
        <v>0</v>
      </c>
      <c r="G416" s="15" t="s">
        <v>18</v>
      </c>
      <c r="H416" s="15">
        <f>0</f>
        <v>0</v>
      </c>
    </row>
    <row r="417" spans="1:8" ht="38.25" x14ac:dyDescent="0.25">
      <c r="A417" s="6"/>
      <c r="B417" s="6"/>
      <c r="C417" s="21" t="s">
        <v>98</v>
      </c>
      <c r="D417" s="20" t="s">
        <v>319</v>
      </c>
      <c r="E417" s="15">
        <f>1100</f>
        <v>1100</v>
      </c>
      <c r="F417" s="15">
        <f>1100</f>
        <v>1100</v>
      </c>
      <c r="G417" s="15" t="s">
        <v>446</v>
      </c>
      <c r="H417" s="15">
        <f>1100</f>
        <v>1100</v>
      </c>
    </row>
    <row r="418" spans="1:8" ht="38.25" x14ac:dyDescent="0.25">
      <c r="A418" s="6"/>
      <c r="B418" s="6"/>
      <c r="C418" s="19" t="s">
        <v>23</v>
      </c>
      <c r="D418" s="19" t="s">
        <v>320</v>
      </c>
      <c r="E418" s="14">
        <f>E419</f>
        <v>74769.77</v>
      </c>
      <c r="F418" s="14">
        <f>F419</f>
        <v>74622.27</v>
      </c>
      <c r="G418" s="14" t="s">
        <v>446</v>
      </c>
      <c r="H418" s="14">
        <f>H419</f>
        <v>74622.27</v>
      </c>
    </row>
    <row r="419" spans="1:8" ht="38.25" x14ac:dyDescent="0.25">
      <c r="A419" s="6"/>
      <c r="B419" s="6"/>
      <c r="C419" s="20" t="s">
        <v>12</v>
      </c>
      <c r="D419" s="20" t="s">
        <v>321</v>
      </c>
      <c r="E419" s="15">
        <f>E420+E421+E422+E426</f>
        <v>74769.77</v>
      </c>
      <c r="F419" s="15">
        <f>F420+F421+F422+F426</f>
        <v>74622.27</v>
      </c>
      <c r="G419" s="15" t="s">
        <v>446</v>
      </c>
      <c r="H419" s="15">
        <f>H420+H421+H422+H426</f>
        <v>74622.27</v>
      </c>
    </row>
    <row r="420" spans="1:8" ht="38.25" x14ac:dyDescent="0.25">
      <c r="A420" s="6"/>
      <c r="B420" s="6"/>
      <c r="C420" s="21" t="s">
        <v>26</v>
      </c>
      <c r="D420" s="20" t="s">
        <v>322</v>
      </c>
      <c r="E420" s="15">
        <f>9788.73</f>
        <v>9788.73</v>
      </c>
      <c r="F420" s="15">
        <f>9788.72</f>
        <v>9788.7199999999993</v>
      </c>
      <c r="G420" s="15" t="s">
        <v>446</v>
      </c>
      <c r="H420" s="15">
        <f>9788.72</f>
        <v>9788.7199999999993</v>
      </c>
    </row>
    <row r="421" spans="1:8" ht="51" x14ac:dyDescent="0.25">
      <c r="A421" s="6"/>
      <c r="B421" s="6"/>
      <c r="C421" s="21" t="s">
        <v>28</v>
      </c>
      <c r="D421" s="20" t="s">
        <v>323</v>
      </c>
      <c r="E421" s="15">
        <f>0</f>
        <v>0</v>
      </c>
      <c r="F421" s="15">
        <f>0</f>
        <v>0</v>
      </c>
      <c r="G421" s="15" t="s">
        <v>18</v>
      </c>
      <c r="H421" s="15">
        <f>0</f>
        <v>0</v>
      </c>
    </row>
    <row r="422" spans="1:8" ht="38.25" x14ac:dyDescent="0.25">
      <c r="A422" s="6"/>
      <c r="B422" s="6"/>
      <c r="C422" s="21" t="s">
        <v>30</v>
      </c>
      <c r="D422" s="20" t="s">
        <v>324</v>
      </c>
      <c r="E422" s="15">
        <f>42924.74</f>
        <v>42924.74</v>
      </c>
      <c r="F422" s="15">
        <f>42924.74</f>
        <v>42924.74</v>
      </c>
      <c r="G422" s="15" t="s">
        <v>446</v>
      </c>
      <c r="H422" s="15">
        <f>42924.74</f>
        <v>42924.74</v>
      </c>
    </row>
    <row r="423" spans="1:8" ht="38.25" x14ac:dyDescent="0.25">
      <c r="A423" s="6"/>
      <c r="B423" s="6"/>
      <c r="C423" s="21" t="s">
        <v>173</v>
      </c>
      <c r="D423" s="20" t="s">
        <v>324</v>
      </c>
      <c r="E423" s="15">
        <f>38984.24</f>
        <v>38984.239999999998</v>
      </c>
      <c r="F423" s="15">
        <f>38984.24</f>
        <v>38984.239999999998</v>
      </c>
      <c r="G423" s="15" t="s">
        <v>446</v>
      </c>
      <c r="H423" s="15">
        <f>38984.24</f>
        <v>38984.239999999998</v>
      </c>
    </row>
    <row r="424" spans="1:8" ht="38.25" x14ac:dyDescent="0.25">
      <c r="A424" s="6"/>
      <c r="B424" s="6"/>
      <c r="C424" s="21" t="s">
        <v>175</v>
      </c>
      <c r="D424" s="20" t="s">
        <v>325</v>
      </c>
      <c r="E424" s="15">
        <f>592.5</f>
        <v>592.5</v>
      </c>
      <c r="F424" s="15">
        <f>592.5</f>
        <v>592.5</v>
      </c>
      <c r="G424" s="15" t="s">
        <v>446</v>
      </c>
      <c r="H424" s="15">
        <f>592.5</f>
        <v>592.5</v>
      </c>
    </row>
    <row r="425" spans="1:8" ht="38.25" x14ac:dyDescent="0.25">
      <c r="A425" s="6"/>
      <c r="B425" s="6"/>
      <c r="C425" s="21" t="s">
        <v>326</v>
      </c>
      <c r="D425" s="20" t="s">
        <v>327</v>
      </c>
      <c r="E425" s="15">
        <f>3348</f>
        <v>3348</v>
      </c>
      <c r="F425" s="15">
        <f>3348</f>
        <v>3348</v>
      </c>
      <c r="G425" s="15" t="s">
        <v>446</v>
      </c>
      <c r="H425" s="15">
        <f>3348</f>
        <v>3348</v>
      </c>
    </row>
    <row r="426" spans="1:8" ht="51" x14ac:dyDescent="0.25">
      <c r="A426" s="6"/>
      <c r="B426" s="6"/>
      <c r="C426" s="21" t="s">
        <v>87</v>
      </c>
      <c r="D426" s="20" t="s">
        <v>328</v>
      </c>
      <c r="E426" s="15">
        <f>22056.3</f>
        <v>22056.3</v>
      </c>
      <c r="F426" s="15">
        <f>21908.81</f>
        <v>21908.81</v>
      </c>
      <c r="G426" s="15" t="s">
        <v>440</v>
      </c>
      <c r="H426" s="15">
        <f>21908.81</f>
        <v>21908.81</v>
      </c>
    </row>
    <row r="427" spans="1:8" ht="38.25" x14ac:dyDescent="0.25">
      <c r="A427" s="6"/>
      <c r="B427" s="6"/>
      <c r="C427" s="19" t="s">
        <v>63</v>
      </c>
      <c r="D427" s="19" t="s">
        <v>329</v>
      </c>
      <c r="E427" s="14">
        <f>E428+E434+E438+E443</f>
        <v>35660.47</v>
      </c>
      <c r="F427" s="14">
        <f>F428+F434+F438+F443</f>
        <v>35660.43</v>
      </c>
      <c r="G427" s="14" t="s">
        <v>446</v>
      </c>
      <c r="H427" s="14">
        <f>H428+H434+H438+H443</f>
        <v>35660.43</v>
      </c>
    </row>
    <row r="428" spans="1:8" ht="38.25" x14ac:dyDescent="0.25">
      <c r="A428" s="6"/>
      <c r="B428" s="6"/>
      <c r="C428" s="20" t="s">
        <v>12</v>
      </c>
      <c r="D428" s="20" t="s">
        <v>330</v>
      </c>
      <c r="E428" s="15">
        <f>E429+E430+E431+E432+E433</f>
        <v>17963.79</v>
      </c>
      <c r="F428" s="15">
        <f>F429+F430+F431+F432+F433</f>
        <v>17963.77</v>
      </c>
      <c r="G428" s="15" t="s">
        <v>446</v>
      </c>
      <c r="H428" s="15">
        <f>H429+H430+H431+H432+H433</f>
        <v>17963.77</v>
      </c>
    </row>
    <row r="429" spans="1:8" ht="38.25" x14ac:dyDescent="0.25">
      <c r="A429" s="6"/>
      <c r="B429" s="6"/>
      <c r="C429" s="21" t="s">
        <v>26</v>
      </c>
      <c r="D429" s="20" t="s">
        <v>331</v>
      </c>
      <c r="E429" s="15">
        <f>831.59</f>
        <v>831.59</v>
      </c>
      <c r="F429" s="15">
        <f>831.59</f>
        <v>831.59</v>
      </c>
      <c r="G429" s="15" t="s">
        <v>446</v>
      </c>
      <c r="H429" s="15">
        <f>831.59</f>
        <v>831.59</v>
      </c>
    </row>
    <row r="430" spans="1:8" ht="63.75" x14ac:dyDescent="0.25">
      <c r="A430" s="6"/>
      <c r="B430" s="6"/>
      <c r="C430" s="21" t="s">
        <v>28</v>
      </c>
      <c r="D430" s="20" t="s">
        <v>332</v>
      </c>
      <c r="E430" s="15">
        <f>1199.75+11796</f>
        <v>12995.75</v>
      </c>
      <c r="F430" s="15">
        <f>1199.74+11796</f>
        <v>12995.74</v>
      </c>
      <c r="G430" s="15" t="s">
        <v>446</v>
      </c>
      <c r="H430" s="15">
        <f>1199.74+11796</f>
        <v>12995.74</v>
      </c>
    </row>
    <row r="431" spans="1:8" ht="165.75" x14ac:dyDescent="0.25">
      <c r="A431" s="6"/>
      <c r="B431" s="6"/>
      <c r="C431" s="21" t="s">
        <v>30</v>
      </c>
      <c r="D431" s="20" t="s">
        <v>333</v>
      </c>
      <c r="E431" s="15">
        <f>172</f>
        <v>172</v>
      </c>
      <c r="F431" s="15">
        <f>172</f>
        <v>172</v>
      </c>
      <c r="G431" s="15" t="s">
        <v>446</v>
      </c>
      <c r="H431" s="15">
        <f>172</f>
        <v>172</v>
      </c>
    </row>
    <row r="432" spans="1:8" ht="38.25" x14ac:dyDescent="0.25">
      <c r="A432" s="6"/>
      <c r="B432" s="6"/>
      <c r="C432" s="21" t="s">
        <v>87</v>
      </c>
      <c r="D432" s="20" t="s">
        <v>334</v>
      </c>
      <c r="E432" s="15">
        <f>303.86</f>
        <v>303.86</v>
      </c>
      <c r="F432" s="15">
        <f>303.86</f>
        <v>303.86</v>
      </c>
      <c r="G432" s="15" t="s">
        <v>446</v>
      </c>
      <c r="H432" s="15">
        <f>303.86</f>
        <v>303.86</v>
      </c>
    </row>
    <row r="433" spans="1:8" ht="38.25" x14ac:dyDescent="0.25">
      <c r="A433" s="6"/>
      <c r="B433" s="6"/>
      <c r="C433" s="21" t="s">
        <v>89</v>
      </c>
      <c r="D433" s="20" t="s">
        <v>335</v>
      </c>
      <c r="E433" s="15">
        <f>3660.59</f>
        <v>3660.59</v>
      </c>
      <c r="F433" s="15">
        <f>3660.58</f>
        <v>3660.58</v>
      </c>
      <c r="G433" s="15" t="s">
        <v>446</v>
      </c>
      <c r="H433" s="15">
        <f>3660.58</f>
        <v>3660.58</v>
      </c>
    </row>
    <row r="434" spans="1:8" ht="38.25" x14ac:dyDescent="0.25">
      <c r="A434" s="6"/>
      <c r="B434" s="6"/>
      <c r="C434" s="20" t="s">
        <v>14</v>
      </c>
      <c r="D434" s="20" t="s">
        <v>336</v>
      </c>
      <c r="E434" s="15">
        <f>E435+E436+E437</f>
        <v>9159.18</v>
      </c>
      <c r="F434" s="15">
        <f>F435+F436+F437</f>
        <v>9159.16</v>
      </c>
      <c r="G434" s="15" t="s">
        <v>446</v>
      </c>
      <c r="H434" s="15">
        <f>H435+H436+H437</f>
        <v>9159.16</v>
      </c>
    </row>
    <row r="435" spans="1:8" ht="51" x14ac:dyDescent="0.25">
      <c r="A435" s="6"/>
      <c r="B435" s="6"/>
      <c r="C435" s="21" t="s">
        <v>33</v>
      </c>
      <c r="D435" s="20" t="s">
        <v>337</v>
      </c>
      <c r="E435" s="15">
        <f>0</f>
        <v>0</v>
      </c>
      <c r="F435" s="15">
        <f>0</f>
        <v>0</v>
      </c>
      <c r="G435" s="15" t="s">
        <v>18</v>
      </c>
      <c r="H435" s="15">
        <f>0</f>
        <v>0</v>
      </c>
    </row>
    <row r="436" spans="1:8" ht="63.75" x14ac:dyDescent="0.25">
      <c r="A436" s="6"/>
      <c r="B436" s="6"/>
      <c r="C436" s="21" t="s">
        <v>35</v>
      </c>
      <c r="D436" s="20" t="s">
        <v>338</v>
      </c>
      <c r="E436" s="15">
        <f>0</f>
        <v>0</v>
      </c>
      <c r="F436" s="15">
        <f>0</f>
        <v>0</v>
      </c>
      <c r="G436" s="15" t="s">
        <v>18</v>
      </c>
      <c r="H436" s="15">
        <f>0</f>
        <v>0</v>
      </c>
    </row>
    <row r="437" spans="1:8" ht="38.25" x14ac:dyDescent="0.25">
      <c r="A437" s="6"/>
      <c r="B437" s="6"/>
      <c r="C437" s="21" t="s">
        <v>276</v>
      </c>
      <c r="D437" s="20" t="s">
        <v>339</v>
      </c>
      <c r="E437" s="15">
        <f>9159.18</f>
        <v>9159.18</v>
      </c>
      <c r="F437" s="15">
        <f>9159.16</f>
        <v>9159.16</v>
      </c>
      <c r="G437" s="15" t="s">
        <v>446</v>
      </c>
      <c r="H437" s="15">
        <f>9159.16</f>
        <v>9159.16</v>
      </c>
    </row>
    <row r="438" spans="1:8" ht="38.25" x14ac:dyDescent="0.25">
      <c r="A438" s="6"/>
      <c r="B438" s="6"/>
      <c r="C438" s="20" t="s">
        <v>16</v>
      </c>
      <c r="D438" s="20" t="s">
        <v>340</v>
      </c>
      <c r="E438" s="15">
        <f>E439+E440+E441+E442</f>
        <v>8537.5</v>
      </c>
      <c r="F438" s="15">
        <f>F439+F440+F441+F442</f>
        <v>8537.5</v>
      </c>
      <c r="G438" s="15" t="s">
        <v>446</v>
      </c>
      <c r="H438" s="15">
        <f>H439+H440+H441+H442</f>
        <v>8537.5</v>
      </c>
    </row>
    <row r="439" spans="1:8" ht="63.75" x14ac:dyDescent="0.25">
      <c r="A439" s="6"/>
      <c r="B439" s="6"/>
      <c r="C439" s="21" t="s">
        <v>38</v>
      </c>
      <c r="D439" s="20" t="s">
        <v>341</v>
      </c>
      <c r="E439" s="15">
        <f>8537.5</f>
        <v>8537.5</v>
      </c>
      <c r="F439" s="15">
        <f>8537.5</f>
        <v>8537.5</v>
      </c>
      <c r="G439" s="15" t="s">
        <v>446</v>
      </c>
      <c r="H439" s="15">
        <f>8537.5</f>
        <v>8537.5</v>
      </c>
    </row>
    <row r="440" spans="1:8" ht="51" x14ac:dyDescent="0.25">
      <c r="A440" s="6"/>
      <c r="B440" s="6"/>
      <c r="C440" s="21" t="s">
        <v>40</v>
      </c>
      <c r="D440" s="20" t="s">
        <v>342</v>
      </c>
      <c r="E440" s="15">
        <f>0</f>
        <v>0</v>
      </c>
      <c r="F440" s="15">
        <f>0</f>
        <v>0</v>
      </c>
      <c r="G440" s="15" t="s">
        <v>18</v>
      </c>
      <c r="H440" s="15">
        <f>0</f>
        <v>0</v>
      </c>
    </row>
    <row r="441" spans="1:8" ht="63.75" x14ac:dyDescent="0.25">
      <c r="A441" s="6"/>
      <c r="B441" s="6"/>
      <c r="C441" s="21" t="s">
        <v>42</v>
      </c>
      <c r="D441" s="20" t="s">
        <v>343</v>
      </c>
      <c r="E441" s="15">
        <f>0</f>
        <v>0</v>
      </c>
      <c r="F441" s="15">
        <f>0</f>
        <v>0</v>
      </c>
      <c r="G441" s="15" t="s">
        <v>18</v>
      </c>
      <c r="H441" s="15">
        <f>0</f>
        <v>0</v>
      </c>
    </row>
    <row r="442" spans="1:8" ht="51" x14ac:dyDescent="0.25">
      <c r="A442" s="6"/>
      <c r="B442" s="6"/>
      <c r="C442" s="21" t="s">
        <v>344</v>
      </c>
      <c r="D442" s="20" t="s">
        <v>345</v>
      </c>
      <c r="E442" s="15">
        <f>0</f>
        <v>0</v>
      </c>
      <c r="F442" s="15">
        <f>0</f>
        <v>0</v>
      </c>
      <c r="G442" s="15" t="s">
        <v>18</v>
      </c>
      <c r="H442" s="15">
        <f>0</f>
        <v>0</v>
      </c>
    </row>
    <row r="443" spans="1:8" ht="51" x14ac:dyDescent="0.25">
      <c r="A443" s="6"/>
      <c r="B443" s="6"/>
      <c r="C443" s="20" t="s">
        <v>19</v>
      </c>
      <c r="D443" s="20" t="s">
        <v>346</v>
      </c>
      <c r="E443" s="15">
        <f>E444</f>
        <v>0</v>
      </c>
      <c r="F443" s="15">
        <f>F444</f>
        <v>0</v>
      </c>
      <c r="G443" s="15" t="s">
        <v>18</v>
      </c>
      <c r="H443" s="15">
        <f>H444</f>
        <v>0</v>
      </c>
    </row>
    <row r="444" spans="1:8" ht="51" x14ac:dyDescent="0.25">
      <c r="A444" s="6"/>
      <c r="B444" s="6"/>
      <c r="C444" s="21" t="s">
        <v>195</v>
      </c>
      <c r="D444" s="20" t="s">
        <v>347</v>
      </c>
      <c r="E444" s="15">
        <f>0</f>
        <v>0</v>
      </c>
      <c r="F444" s="15">
        <f>0</f>
        <v>0</v>
      </c>
      <c r="G444" s="15" t="s">
        <v>18</v>
      </c>
      <c r="H444" s="15">
        <f>0</f>
        <v>0</v>
      </c>
    </row>
    <row r="445" spans="1:8" ht="51" x14ac:dyDescent="0.25">
      <c r="A445" s="6"/>
      <c r="B445" s="6"/>
      <c r="C445" s="19" t="s">
        <v>82</v>
      </c>
      <c r="D445" s="19" t="s">
        <v>348</v>
      </c>
      <c r="E445" s="14">
        <f>E446</f>
        <v>0</v>
      </c>
      <c r="F445" s="14">
        <f>F446</f>
        <v>0</v>
      </c>
      <c r="G445" s="14" t="s">
        <v>18</v>
      </c>
      <c r="H445" s="14">
        <f>H446</f>
        <v>0</v>
      </c>
    </row>
    <row r="446" spans="1:8" ht="51" x14ac:dyDescent="0.25">
      <c r="A446" s="6"/>
      <c r="B446" s="6"/>
      <c r="C446" s="20" t="s">
        <v>12</v>
      </c>
      <c r="D446" s="20" t="s">
        <v>349</v>
      </c>
      <c r="E446" s="15">
        <f>E447</f>
        <v>0</v>
      </c>
      <c r="F446" s="15">
        <f>F447</f>
        <v>0</v>
      </c>
      <c r="G446" s="15" t="s">
        <v>18</v>
      </c>
      <c r="H446" s="15">
        <f>H447</f>
        <v>0</v>
      </c>
    </row>
    <row r="447" spans="1:8" ht="51" x14ac:dyDescent="0.25">
      <c r="A447" s="6"/>
      <c r="B447" s="6"/>
      <c r="C447" s="21" t="s">
        <v>26</v>
      </c>
      <c r="D447" s="20" t="s">
        <v>350</v>
      </c>
      <c r="E447" s="15">
        <f>0</f>
        <v>0</v>
      </c>
      <c r="F447" s="15">
        <f>0</f>
        <v>0</v>
      </c>
      <c r="G447" s="15" t="s">
        <v>18</v>
      </c>
      <c r="H447" s="15">
        <f>0</f>
        <v>0</v>
      </c>
    </row>
    <row r="448" spans="1:8" ht="17.25" customHeight="1" x14ac:dyDescent="0.25">
      <c r="A448" s="6"/>
      <c r="B448" s="6"/>
      <c r="C448" s="22" t="s">
        <v>90</v>
      </c>
      <c r="D448" s="22"/>
      <c r="E448" s="16">
        <f>E410+E418+E427+E445</f>
        <v>115114.79000000001</v>
      </c>
      <c r="F448" s="16">
        <f>F410+F418+F427+F445</f>
        <v>114967.23000000001</v>
      </c>
      <c r="G448" s="25" t="s">
        <v>527</v>
      </c>
      <c r="H448" s="16">
        <f>H410+H418+H427+H445</f>
        <v>114967.23000000001</v>
      </c>
    </row>
    <row r="449" spans="1:8" ht="38.25" customHeight="1" x14ac:dyDescent="0.25">
      <c r="A449" s="6">
        <v>6</v>
      </c>
      <c r="B449" s="6" t="s">
        <v>351</v>
      </c>
      <c r="C449" s="19" t="s">
        <v>10</v>
      </c>
      <c r="D449" s="19" t="s">
        <v>352</v>
      </c>
      <c r="E449" s="14">
        <f>E450</f>
        <v>21238.48</v>
      </c>
      <c r="F449" s="14">
        <f>F450</f>
        <v>20570.650000000001</v>
      </c>
      <c r="G449" s="26" t="s">
        <v>1213</v>
      </c>
      <c r="H449" s="14">
        <f>H450</f>
        <v>20570.650000000001</v>
      </c>
    </row>
    <row r="450" spans="1:8" ht="63.75" x14ac:dyDescent="0.25">
      <c r="A450" s="6"/>
      <c r="B450" s="6"/>
      <c r="C450" s="20" t="s">
        <v>12</v>
      </c>
      <c r="D450" s="20" t="s">
        <v>353</v>
      </c>
      <c r="E450" s="15">
        <f>E451</f>
        <v>21238.48</v>
      </c>
      <c r="F450" s="15">
        <f>F451</f>
        <v>20570.650000000001</v>
      </c>
      <c r="G450" s="27" t="s">
        <v>1213</v>
      </c>
      <c r="H450" s="15">
        <f>H451</f>
        <v>20570.650000000001</v>
      </c>
    </row>
    <row r="451" spans="1:8" ht="38.25" x14ac:dyDescent="0.25">
      <c r="A451" s="6"/>
      <c r="B451" s="6"/>
      <c r="C451" s="21" t="s">
        <v>26</v>
      </c>
      <c r="D451" s="20" t="s">
        <v>354</v>
      </c>
      <c r="E451" s="15">
        <f>2912.8+2246.1+15477.28+602.3</f>
        <v>21238.48</v>
      </c>
      <c r="F451" s="15">
        <f>2245.67+602.1+2245.6+15477.28</f>
        <v>20570.650000000001</v>
      </c>
      <c r="G451" s="27" t="s">
        <v>1213</v>
      </c>
      <c r="H451" s="15">
        <f>2245.67+602.1+2245.6+15477.28</f>
        <v>20570.650000000001</v>
      </c>
    </row>
    <row r="452" spans="1:8" ht="63.75" x14ac:dyDescent="0.25">
      <c r="A452" s="6"/>
      <c r="B452" s="6"/>
      <c r="C452" s="19" t="s">
        <v>23</v>
      </c>
      <c r="D452" s="19" t="s">
        <v>355</v>
      </c>
      <c r="E452" s="14">
        <f>E453</f>
        <v>30953.8</v>
      </c>
      <c r="F452" s="14">
        <f>F453</f>
        <v>30953.38</v>
      </c>
      <c r="G452" s="26" t="s">
        <v>446</v>
      </c>
      <c r="H452" s="14">
        <f>H453</f>
        <v>30953.38</v>
      </c>
    </row>
    <row r="453" spans="1:8" ht="76.5" x14ac:dyDescent="0.25">
      <c r="A453" s="6"/>
      <c r="B453" s="6"/>
      <c r="C453" s="20" t="s">
        <v>12</v>
      </c>
      <c r="D453" s="20" t="s">
        <v>356</v>
      </c>
      <c r="E453" s="15">
        <f>E454+E455+E456</f>
        <v>30953.8</v>
      </c>
      <c r="F453" s="15">
        <f>F454+F455+F456</f>
        <v>30953.38</v>
      </c>
      <c r="G453" s="27" t="s">
        <v>446</v>
      </c>
      <c r="H453" s="15">
        <f>H454+H455+H456</f>
        <v>30953.38</v>
      </c>
    </row>
    <row r="454" spans="1:8" ht="89.25" x14ac:dyDescent="0.25">
      <c r="A454" s="6"/>
      <c r="B454" s="6"/>
      <c r="C454" s="21" t="s">
        <v>26</v>
      </c>
      <c r="D454" s="20" t="s">
        <v>357</v>
      </c>
      <c r="E454" s="15">
        <f>30439</f>
        <v>30439</v>
      </c>
      <c r="F454" s="15">
        <f>30438.58</f>
        <v>30438.58</v>
      </c>
      <c r="G454" s="27" t="s">
        <v>446</v>
      </c>
      <c r="H454" s="15">
        <f>30438.58</f>
        <v>30438.58</v>
      </c>
    </row>
    <row r="455" spans="1:8" ht="76.5" x14ac:dyDescent="0.25">
      <c r="A455" s="6"/>
      <c r="B455" s="6"/>
      <c r="C455" s="21" t="s">
        <v>28</v>
      </c>
      <c r="D455" s="20" t="s">
        <v>358</v>
      </c>
      <c r="E455" s="15">
        <f>0</f>
        <v>0</v>
      </c>
      <c r="F455" s="15">
        <f>0</f>
        <v>0</v>
      </c>
      <c r="G455" s="27" t="s">
        <v>18</v>
      </c>
      <c r="H455" s="15">
        <f>0</f>
        <v>0</v>
      </c>
    </row>
    <row r="456" spans="1:8" ht="102" x14ac:dyDescent="0.25">
      <c r="A456" s="6"/>
      <c r="B456" s="6"/>
      <c r="C456" s="21" t="s">
        <v>30</v>
      </c>
      <c r="D456" s="20" t="s">
        <v>359</v>
      </c>
      <c r="E456" s="15">
        <f>514.8</f>
        <v>514.79999999999995</v>
      </c>
      <c r="F456" s="15">
        <f>514.8</f>
        <v>514.79999999999995</v>
      </c>
      <c r="G456" s="27" t="s">
        <v>446</v>
      </c>
      <c r="H456" s="15">
        <f>514.8</f>
        <v>514.79999999999995</v>
      </c>
    </row>
    <row r="457" spans="1:8" ht="51" x14ac:dyDescent="0.25">
      <c r="A457" s="6"/>
      <c r="B457" s="6"/>
      <c r="C457" s="19" t="s">
        <v>63</v>
      </c>
      <c r="D457" s="19" t="s">
        <v>360</v>
      </c>
      <c r="E457" s="14">
        <f>E458</f>
        <v>0</v>
      </c>
      <c r="F457" s="14">
        <f>F458</f>
        <v>0</v>
      </c>
      <c r="G457" s="26" t="s">
        <v>18</v>
      </c>
      <c r="H457" s="14">
        <f>H458</f>
        <v>0</v>
      </c>
    </row>
    <row r="458" spans="1:8" ht="229.5" x14ac:dyDescent="0.25">
      <c r="A458" s="6"/>
      <c r="B458" s="6"/>
      <c r="C458" s="20" t="s">
        <v>12</v>
      </c>
      <c r="D458" s="20" t="s">
        <v>361</v>
      </c>
      <c r="E458" s="15">
        <f>E459</f>
        <v>0</v>
      </c>
      <c r="F458" s="15">
        <f>F459</f>
        <v>0</v>
      </c>
      <c r="G458" s="27" t="s">
        <v>18</v>
      </c>
      <c r="H458" s="15">
        <f>H459</f>
        <v>0</v>
      </c>
    </row>
    <row r="459" spans="1:8" ht="140.25" x14ac:dyDescent="0.25">
      <c r="A459" s="6"/>
      <c r="B459" s="6"/>
      <c r="C459" s="21" t="s">
        <v>26</v>
      </c>
      <c r="D459" s="20" t="s">
        <v>362</v>
      </c>
      <c r="E459" s="15">
        <f>0</f>
        <v>0</v>
      </c>
      <c r="F459" s="15">
        <f>0</f>
        <v>0</v>
      </c>
      <c r="G459" s="15" t="s">
        <v>18</v>
      </c>
      <c r="H459" s="15">
        <f>0</f>
        <v>0</v>
      </c>
    </row>
    <row r="460" spans="1:8" ht="63.75" x14ac:dyDescent="0.25">
      <c r="A460" s="6"/>
      <c r="B460" s="6"/>
      <c r="C460" s="19" t="s">
        <v>82</v>
      </c>
      <c r="D460" s="19" t="s">
        <v>363</v>
      </c>
      <c r="E460" s="14">
        <f>E461+E463+E466+E469+E473+E475+E478+E480</f>
        <v>0</v>
      </c>
      <c r="F460" s="14">
        <f>F461+F463+F466+F469+F473+F475+F478+F480</f>
        <v>0</v>
      </c>
      <c r="G460" s="14" t="s">
        <v>18</v>
      </c>
      <c r="H460" s="14">
        <f>H461+H463+H466+H469+H473+H475+H478+H480</f>
        <v>0</v>
      </c>
    </row>
    <row r="461" spans="1:8" ht="51" x14ac:dyDescent="0.25">
      <c r="A461" s="6"/>
      <c r="B461" s="6"/>
      <c r="C461" s="20" t="s">
        <v>12</v>
      </c>
      <c r="D461" s="20" t="s">
        <v>364</v>
      </c>
      <c r="E461" s="15">
        <f>E462</f>
        <v>0</v>
      </c>
      <c r="F461" s="15">
        <f>F462</f>
        <v>0</v>
      </c>
      <c r="G461" s="15" t="s">
        <v>18</v>
      </c>
      <c r="H461" s="15">
        <f>H462</f>
        <v>0</v>
      </c>
    </row>
    <row r="462" spans="1:8" ht="51" x14ac:dyDescent="0.25">
      <c r="A462" s="6"/>
      <c r="B462" s="6"/>
      <c r="C462" s="21" t="s">
        <v>26</v>
      </c>
      <c r="D462" s="20" t="s">
        <v>365</v>
      </c>
      <c r="E462" s="15">
        <f>0</f>
        <v>0</v>
      </c>
      <c r="F462" s="15">
        <f>0</f>
        <v>0</v>
      </c>
      <c r="G462" s="15" t="s">
        <v>18</v>
      </c>
      <c r="H462" s="15">
        <f>0</f>
        <v>0</v>
      </c>
    </row>
    <row r="463" spans="1:8" ht="51" x14ac:dyDescent="0.25">
      <c r="A463" s="6"/>
      <c r="B463" s="6"/>
      <c r="C463" s="20" t="s">
        <v>14</v>
      </c>
      <c r="D463" s="20" t="s">
        <v>366</v>
      </c>
      <c r="E463" s="15">
        <f>E464+E465</f>
        <v>0</v>
      </c>
      <c r="F463" s="15">
        <f>F464+F465</f>
        <v>0</v>
      </c>
      <c r="G463" s="15" t="s">
        <v>18</v>
      </c>
      <c r="H463" s="15">
        <f>H464+H465</f>
        <v>0</v>
      </c>
    </row>
    <row r="464" spans="1:8" ht="51" x14ac:dyDescent="0.25">
      <c r="A464" s="6"/>
      <c r="B464" s="6"/>
      <c r="C464" s="21" t="s">
        <v>33</v>
      </c>
      <c r="D464" s="20" t="s">
        <v>367</v>
      </c>
      <c r="E464" s="15">
        <f>0</f>
        <v>0</v>
      </c>
      <c r="F464" s="15">
        <f>0</f>
        <v>0</v>
      </c>
      <c r="G464" s="15" t="s">
        <v>18</v>
      </c>
      <c r="H464" s="15">
        <f>0</f>
        <v>0</v>
      </c>
    </row>
    <row r="465" spans="1:8" ht="51" x14ac:dyDescent="0.25">
      <c r="A465" s="6"/>
      <c r="B465" s="6"/>
      <c r="C465" s="21" t="s">
        <v>35</v>
      </c>
      <c r="D465" s="20" t="s">
        <v>368</v>
      </c>
      <c r="E465" s="15">
        <f>0</f>
        <v>0</v>
      </c>
      <c r="F465" s="15">
        <f>0</f>
        <v>0</v>
      </c>
      <c r="G465" s="15" t="s">
        <v>18</v>
      </c>
      <c r="H465" s="15">
        <f>0</f>
        <v>0</v>
      </c>
    </row>
    <row r="466" spans="1:8" ht="63.75" x14ac:dyDescent="0.25">
      <c r="A466" s="6"/>
      <c r="B466" s="6"/>
      <c r="C466" s="20" t="s">
        <v>16</v>
      </c>
      <c r="D466" s="20" t="s">
        <v>369</v>
      </c>
      <c r="E466" s="15">
        <f>E467+E468</f>
        <v>0</v>
      </c>
      <c r="F466" s="15">
        <f>F467+F468</f>
        <v>0</v>
      </c>
      <c r="G466" s="15" t="s">
        <v>18</v>
      </c>
      <c r="H466" s="15">
        <f>H467+H468</f>
        <v>0</v>
      </c>
    </row>
    <row r="467" spans="1:8" ht="51" x14ac:dyDescent="0.25">
      <c r="A467" s="6"/>
      <c r="B467" s="6"/>
      <c r="C467" s="21" t="s">
        <v>38</v>
      </c>
      <c r="D467" s="20" t="s">
        <v>370</v>
      </c>
      <c r="E467" s="15">
        <f>0</f>
        <v>0</v>
      </c>
      <c r="F467" s="15">
        <f>0</f>
        <v>0</v>
      </c>
      <c r="G467" s="15" t="s">
        <v>18</v>
      </c>
      <c r="H467" s="15">
        <f>0</f>
        <v>0</v>
      </c>
    </row>
    <row r="468" spans="1:8" ht="63.75" x14ac:dyDescent="0.25">
      <c r="A468" s="6"/>
      <c r="B468" s="6"/>
      <c r="C468" s="21" t="s">
        <v>40</v>
      </c>
      <c r="D468" s="20" t="s">
        <v>371</v>
      </c>
      <c r="E468" s="15">
        <f>0</f>
        <v>0</v>
      </c>
      <c r="F468" s="15">
        <f>0</f>
        <v>0</v>
      </c>
      <c r="G468" s="15" t="s">
        <v>18</v>
      </c>
      <c r="H468" s="15">
        <f>0</f>
        <v>0</v>
      </c>
    </row>
    <row r="469" spans="1:8" ht="51" x14ac:dyDescent="0.25">
      <c r="A469" s="6"/>
      <c r="B469" s="6"/>
      <c r="C469" s="20" t="s">
        <v>19</v>
      </c>
      <c r="D469" s="20" t="s">
        <v>372</v>
      </c>
      <c r="E469" s="15">
        <f>E470+E471+E472</f>
        <v>0</v>
      </c>
      <c r="F469" s="15">
        <f>F470+F471+F472</f>
        <v>0</v>
      </c>
      <c r="G469" s="15" t="s">
        <v>18</v>
      </c>
      <c r="H469" s="15">
        <f>H470+H471+H472</f>
        <v>0</v>
      </c>
    </row>
    <row r="470" spans="1:8" ht="76.5" x14ac:dyDescent="0.25">
      <c r="A470" s="6"/>
      <c r="B470" s="6"/>
      <c r="C470" s="21" t="s">
        <v>195</v>
      </c>
      <c r="D470" s="20" t="s">
        <v>373</v>
      </c>
      <c r="E470" s="15">
        <f>0</f>
        <v>0</v>
      </c>
      <c r="F470" s="15">
        <f>0</f>
        <v>0</v>
      </c>
      <c r="G470" s="15" t="s">
        <v>18</v>
      </c>
      <c r="H470" s="15">
        <f>0</f>
        <v>0</v>
      </c>
    </row>
    <row r="471" spans="1:8" ht="51" x14ac:dyDescent="0.25">
      <c r="A471" s="6"/>
      <c r="B471" s="6"/>
      <c r="C471" s="21" t="s">
        <v>284</v>
      </c>
      <c r="D471" s="20" t="s">
        <v>374</v>
      </c>
      <c r="E471" s="15">
        <f>0</f>
        <v>0</v>
      </c>
      <c r="F471" s="15">
        <f>0</f>
        <v>0</v>
      </c>
      <c r="G471" s="15" t="s">
        <v>18</v>
      </c>
      <c r="H471" s="15">
        <f>0</f>
        <v>0</v>
      </c>
    </row>
    <row r="472" spans="1:8" ht="63.75" x14ac:dyDescent="0.25">
      <c r="A472" s="6"/>
      <c r="B472" s="6"/>
      <c r="C472" s="21" t="s">
        <v>375</v>
      </c>
      <c r="D472" s="20" t="s">
        <v>376</v>
      </c>
      <c r="E472" s="15">
        <f>0</f>
        <v>0</v>
      </c>
      <c r="F472" s="15">
        <f>0</f>
        <v>0</v>
      </c>
      <c r="G472" s="15" t="s">
        <v>18</v>
      </c>
      <c r="H472" s="15">
        <f>0</f>
        <v>0</v>
      </c>
    </row>
    <row r="473" spans="1:8" ht="51" x14ac:dyDescent="0.25">
      <c r="A473" s="6"/>
      <c r="B473" s="6"/>
      <c r="C473" s="20" t="s">
        <v>21</v>
      </c>
      <c r="D473" s="20" t="s">
        <v>377</v>
      </c>
      <c r="E473" s="15">
        <f>E474</f>
        <v>0</v>
      </c>
      <c r="F473" s="15">
        <f>F474</f>
        <v>0</v>
      </c>
      <c r="G473" s="15" t="s">
        <v>18</v>
      </c>
      <c r="H473" s="15">
        <f>H474</f>
        <v>0</v>
      </c>
    </row>
    <row r="474" spans="1:8" ht="51" x14ac:dyDescent="0.25">
      <c r="A474" s="6"/>
      <c r="B474" s="6"/>
      <c r="C474" s="21" t="s">
        <v>203</v>
      </c>
      <c r="D474" s="20" t="s">
        <v>378</v>
      </c>
      <c r="E474" s="15">
        <f>0</f>
        <v>0</v>
      </c>
      <c r="F474" s="15">
        <f>0</f>
        <v>0</v>
      </c>
      <c r="G474" s="15" t="s">
        <v>18</v>
      </c>
      <c r="H474" s="15">
        <f>0</f>
        <v>0</v>
      </c>
    </row>
    <row r="475" spans="1:8" ht="51" x14ac:dyDescent="0.25">
      <c r="A475" s="6"/>
      <c r="B475" s="6"/>
      <c r="C475" s="20" t="s">
        <v>70</v>
      </c>
      <c r="D475" s="20" t="s">
        <v>379</v>
      </c>
      <c r="E475" s="15">
        <f>E476+E477</f>
        <v>0</v>
      </c>
      <c r="F475" s="15">
        <f>F476+F477</f>
        <v>0</v>
      </c>
      <c r="G475" s="15" t="s">
        <v>18</v>
      </c>
      <c r="H475" s="15">
        <f>H476+H477</f>
        <v>0</v>
      </c>
    </row>
    <row r="476" spans="1:8" ht="51" x14ac:dyDescent="0.25">
      <c r="A476" s="6"/>
      <c r="B476" s="6"/>
      <c r="C476" s="21" t="s">
        <v>380</v>
      </c>
      <c r="D476" s="20" t="s">
        <v>381</v>
      </c>
      <c r="E476" s="15">
        <f>0</f>
        <v>0</v>
      </c>
      <c r="F476" s="15">
        <f>0</f>
        <v>0</v>
      </c>
      <c r="G476" s="15" t="s">
        <v>18</v>
      </c>
      <c r="H476" s="15">
        <f>0</f>
        <v>0</v>
      </c>
    </row>
    <row r="477" spans="1:8" ht="51" x14ac:dyDescent="0.25">
      <c r="A477" s="6"/>
      <c r="B477" s="6"/>
      <c r="C477" s="21" t="s">
        <v>382</v>
      </c>
      <c r="D477" s="20" t="s">
        <v>383</v>
      </c>
      <c r="E477" s="15">
        <f>0</f>
        <v>0</v>
      </c>
      <c r="F477" s="15">
        <f>0</f>
        <v>0</v>
      </c>
      <c r="G477" s="15" t="s">
        <v>18</v>
      </c>
      <c r="H477" s="15">
        <f>0</f>
        <v>0</v>
      </c>
    </row>
    <row r="478" spans="1:8" ht="51" x14ac:dyDescent="0.25">
      <c r="A478" s="6"/>
      <c r="B478" s="6"/>
      <c r="C478" s="20" t="s">
        <v>72</v>
      </c>
      <c r="D478" s="20" t="s">
        <v>384</v>
      </c>
      <c r="E478" s="15">
        <f>E479</f>
        <v>0</v>
      </c>
      <c r="F478" s="15">
        <f>F479</f>
        <v>0</v>
      </c>
      <c r="G478" s="15" t="s">
        <v>18</v>
      </c>
      <c r="H478" s="15">
        <f>H479</f>
        <v>0</v>
      </c>
    </row>
    <row r="479" spans="1:8" ht="51" x14ac:dyDescent="0.25">
      <c r="A479" s="6"/>
      <c r="B479" s="6"/>
      <c r="C479" s="21" t="s">
        <v>385</v>
      </c>
      <c r="D479" s="20" t="s">
        <v>386</v>
      </c>
      <c r="E479" s="15">
        <f>0</f>
        <v>0</v>
      </c>
      <c r="F479" s="15">
        <f>0</f>
        <v>0</v>
      </c>
      <c r="G479" s="15" t="s">
        <v>18</v>
      </c>
      <c r="H479" s="15">
        <f>0</f>
        <v>0</v>
      </c>
    </row>
    <row r="480" spans="1:8" ht="63.75" x14ac:dyDescent="0.25">
      <c r="A480" s="6"/>
      <c r="B480" s="6"/>
      <c r="C480" s="20" t="s">
        <v>74</v>
      </c>
      <c r="D480" s="20" t="s">
        <v>387</v>
      </c>
      <c r="E480" s="15">
        <f>E481</f>
        <v>0</v>
      </c>
      <c r="F480" s="15">
        <f>F481</f>
        <v>0</v>
      </c>
      <c r="G480" s="15" t="s">
        <v>18</v>
      </c>
      <c r="H480" s="15">
        <f>H481</f>
        <v>0</v>
      </c>
    </row>
    <row r="481" spans="1:8" ht="242.25" x14ac:dyDescent="0.25">
      <c r="A481" s="6"/>
      <c r="B481" s="6"/>
      <c r="C481" s="21" t="s">
        <v>388</v>
      </c>
      <c r="D481" s="20" t="s">
        <v>389</v>
      </c>
      <c r="E481" s="15">
        <f>0</f>
        <v>0</v>
      </c>
      <c r="F481" s="15">
        <f>0</f>
        <v>0</v>
      </c>
      <c r="G481" s="15" t="s">
        <v>18</v>
      </c>
      <c r="H481" s="15">
        <f>0</f>
        <v>0</v>
      </c>
    </row>
    <row r="482" spans="1:8" ht="18.75" customHeight="1" x14ac:dyDescent="0.25">
      <c r="A482" s="6"/>
      <c r="B482" s="6"/>
      <c r="C482" s="22" t="s">
        <v>90</v>
      </c>
      <c r="D482" s="22"/>
      <c r="E482" s="16">
        <f>E449+E452+E457+E460</f>
        <v>52192.28</v>
      </c>
      <c r="F482" s="16">
        <f>F449+F452+F457+F460</f>
        <v>51524.03</v>
      </c>
      <c r="G482" s="28" t="s">
        <v>1214</v>
      </c>
      <c r="H482" s="16">
        <f>H449+H452+H457+H460</f>
        <v>51524.03</v>
      </c>
    </row>
    <row r="483" spans="1:8" ht="38.25" x14ac:dyDescent="0.25">
      <c r="A483" s="8">
        <v>7</v>
      </c>
      <c r="B483" s="6" t="s">
        <v>390</v>
      </c>
      <c r="C483" s="19" t="s">
        <v>10</v>
      </c>
      <c r="D483" s="19" t="s">
        <v>391</v>
      </c>
      <c r="E483" s="14">
        <f>E484</f>
        <v>10427.299999999999</v>
      </c>
      <c r="F483" s="14">
        <f>F484</f>
        <v>10427.299999999999</v>
      </c>
      <c r="G483" s="26" t="s">
        <v>446</v>
      </c>
      <c r="H483" s="14">
        <f>H484</f>
        <v>10427.299999999999</v>
      </c>
    </row>
    <row r="484" spans="1:8" ht="38.25" x14ac:dyDescent="0.25">
      <c r="A484" s="8"/>
      <c r="B484" s="6"/>
      <c r="C484" s="20" t="s">
        <v>12</v>
      </c>
      <c r="D484" s="20" t="s">
        <v>392</v>
      </c>
      <c r="E484" s="15">
        <f>E485+E486+E487</f>
        <v>10427.299999999999</v>
      </c>
      <c r="F484" s="15">
        <f>F485+F486+F487</f>
        <v>10427.299999999999</v>
      </c>
      <c r="G484" s="27" t="s">
        <v>446</v>
      </c>
      <c r="H484" s="15">
        <f>H485+H486+H487</f>
        <v>10427.299999999999</v>
      </c>
    </row>
    <row r="485" spans="1:8" ht="38.25" x14ac:dyDescent="0.25">
      <c r="A485" s="8"/>
      <c r="B485" s="6"/>
      <c r="C485" s="21" t="s">
        <v>26</v>
      </c>
      <c r="D485" s="20" t="s">
        <v>393</v>
      </c>
      <c r="E485" s="15">
        <f>10427.3</f>
        <v>10427.299999999999</v>
      </c>
      <c r="F485" s="15">
        <f>10427.3</f>
        <v>10427.299999999999</v>
      </c>
      <c r="G485" s="27" t="s">
        <v>446</v>
      </c>
      <c r="H485" s="15">
        <f>10427.3</f>
        <v>10427.299999999999</v>
      </c>
    </row>
    <row r="486" spans="1:8" ht="51" x14ac:dyDescent="0.25">
      <c r="A486" s="8"/>
      <c r="B486" s="6"/>
      <c r="C486" s="21" t="s">
        <v>28</v>
      </c>
      <c r="D486" s="20" t="s">
        <v>1218</v>
      </c>
      <c r="E486" s="15">
        <f>0</f>
        <v>0</v>
      </c>
      <c r="F486" s="15">
        <f>0</f>
        <v>0</v>
      </c>
      <c r="G486" s="15" t="s">
        <v>18</v>
      </c>
      <c r="H486" s="15">
        <f>0</f>
        <v>0</v>
      </c>
    </row>
    <row r="487" spans="1:8" ht="63.75" x14ac:dyDescent="0.25">
      <c r="A487" s="8"/>
      <c r="B487" s="6"/>
      <c r="C487" s="21" t="s">
        <v>30</v>
      </c>
      <c r="D487" s="20" t="s">
        <v>394</v>
      </c>
      <c r="E487" s="15">
        <f>0</f>
        <v>0</v>
      </c>
      <c r="F487" s="15">
        <f>0</f>
        <v>0</v>
      </c>
      <c r="G487" s="15" t="s">
        <v>18</v>
      </c>
      <c r="H487" s="15">
        <f>0</f>
        <v>0</v>
      </c>
    </row>
    <row r="488" spans="1:8" ht="38.25" x14ac:dyDescent="0.25">
      <c r="A488" s="8"/>
      <c r="B488" s="6"/>
      <c r="C488" s="19" t="s">
        <v>23</v>
      </c>
      <c r="D488" s="19" t="s">
        <v>395</v>
      </c>
      <c r="E488" s="14">
        <f>E489</f>
        <v>30518.920000000002</v>
      </c>
      <c r="F488" s="14">
        <f>F489</f>
        <v>30518.920000000002</v>
      </c>
      <c r="G488" s="26" t="s">
        <v>446</v>
      </c>
      <c r="H488" s="14">
        <f>H489</f>
        <v>30518.920000000002</v>
      </c>
    </row>
    <row r="489" spans="1:8" ht="51" x14ac:dyDescent="0.25">
      <c r="A489" s="8"/>
      <c r="B489" s="6"/>
      <c r="C489" s="20" t="s">
        <v>12</v>
      </c>
      <c r="D489" s="20" t="s">
        <v>396</v>
      </c>
      <c r="E489" s="15">
        <f>E490+E491+E492</f>
        <v>30518.920000000002</v>
      </c>
      <c r="F489" s="15">
        <f>F490+F491+F492</f>
        <v>30518.920000000002</v>
      </c>
      <c r="G489" s="27" t="s">
        <v>446</v>
      </c>
      <c r="H489" s="15">
        <f>H490+H491+H492</f>
        <v>30518.920000000002</v>
      </c>
    </row>
    <row r="490" spans="1:8" ht="51" x14ac:dyDescent="0.25">
      <c r="A490" s="8"/>
      <c r="B490" s="6"/>
      <c r="C490" s="21" t="s">
        <v>26</v>
      </c>
      <c r="D490" s="20" t="s">
        <v>397</v>
      </c>
      <c r="E490" s="15">
        <f>30144.7</f>
        <v>30144.7</v>
      </c>
      <c r="F490" s="15">
        <f>30144.7</f>
        <v>30144.7</v>
      </c>
      <c r="G490" s="27" t="s">
        <v>446</v>
      </c>
      <c r="H490" s="15">
        <f>30144.7</f>
        <v>30144.7</v>
      </c>
    </row>
    <row r="491" spans="1:8" ht="38.25" x14ac:dyDescent="0.25">
      <c r="A491" s="8"/>
      <c r="B491" s="6"/>
      <c r="C491" s="21" t="s">
        <v>28</v>
      </c>
      <c r="D491" s="20" t="s">
        <v>398</v>
      </c>
      <c r="E491" s="15">
        <f>311.15</f>
        <v>311.14999999999998</v>
      </c>
      <c r="F491" s="15">
        <f>311.15</f>
        <v>311.14999999999998</v>
      </c>
      <c r="G491" s="27" t="s">
        <v>446</v>
      </c>
      <c r="H491" s="15">
        <f>311.15</f>
        <v>311.14999999999998</v>
      </c>
    </row>
    <row r="492" spans="1:8" ht="38.25" x14ac:dyDescent="0.25">
      <c r="A492" s="8"/>
      <c r="B492" s="6"/>
      <c r="C492" s="21" t="s">
        <v>30</v>
      </c>
      <c r="D492" s="20" t="s">
        <v>399</v>
      </c>
      <c r="E492" s="15">
        <f>63.07</f>
        <v>63.07</v>
      </c>
      <c r="F492" s="15">
        <f>63.07</f>
        <v>63.07</v>
      </c>
      <c r="G492" s="27" t="s">
        <v>446</v>
      </c>
      <c r="H492" s="15">
        <f>63.07</f>
        <v>63.07</v>
      </c>
    </row>
    <row r="493" spans="1:8" ht="51" x14ac:dyDescent="0.25">
      <c r="A493" s="8"/>
      <c r="B493" s="6"/>
      <c r="C493" s="19" t="s">
        <v>63</v>
      </c>
      <c r="D493" s="19" t="s">
        <v>400</v>
      </c>
      <c r="E493" s="14">
        <f>E494</f>
        <v>77121.26999999999</v>
      </c>
      <c r="F493" s="14">
        <f>F494</f>
        <v>77121.239999999991</v>
      </c>
      <c r="G493" s="26" t="s">
        <v>446</v>
      </c>
      <c r="H493" s="14">
        <f>H494</f>
        <v>77121.239999999991</v>
      </c>
    </row>
    <row r="494" spans="1:8" ht="76.5" x14ac:dyDescent="0.25">
      <c r="A494" s="8"/>
      <c r="B494" s="6"/>
      <c r="C494" s="20" t="s">
        <v>12</v>
      </c>
      <c r="D494" s="20" t="s">
        <v>401</v>
      </c>
      <c r="E494" s="15">
        <f>E495+E496+E497+E498+E499</f>
        <v>77121.26999999999</v>
      </c>
      <c r="F494" s="15">
        <f>F495+F496+F497+F498+F499</f>
        <v>77121.239999999991</v>
      </c>
      <c r="G494" s="27" t="s">
        <v>446</v>
      </c>
      <c r="H494" s="15">
        <f>H495+H496+H497+H498+H499</f>
        <v>77121.239999999991</v>
      </c>
    </row>
    <row r="495" spans="1:8" ht="63.75" x14ac:dyDescent="0.25">
      <c r="A495" s="8"/>
      <c r="B495" s="6"/>
      <c r="C495" s="21" t="s">
        <v>26</v>
      </c>
      <c r="D495" s="20" t="s">
        <v>402</v>
      </c>
      <c r="E495" s="15">
        <f>41374.1</f>
        <v>41374.1</v>
      </c>
      <c r="F495" s="15">
        <f>41374.1</f>
        <v>41374.1</v>
      </c>
      <c r="G495" s="27" t="s">
        <v>446</v>
      </c>
      <c r="H495" s="15">
        <f>41374.1</f>
        <v>41374.1</v>
      </c>
    </row>
    <row r="496" spans="1:8" ht="38.25" x14ac:dyDescent="0.25">
      <c r="A496" s="8"/>
      <c r="B496" s="6"/>
      <c r="C496" s="21" t="s">
        <v>28</v>
      </c>
      <c r="D496" s="20" t="s">
        <v>403</v>
      </c>
      <c r="E496" s="15">
        <f>35747.17</f>
        <v>35747.17</v>
      </c>
      <c r="F496" s="15">
        <f>35747.14</f>
        <v>35747.14</v>
      </c>
      <c r="G496" s="27" t="s">
        <v>446</v>
      </c>
      <c r="H496" s="15">
        <f>35747.14</f>
        <v>35747.14</v>
      </c>
    </row>
    <row r="497" spans="1:8" ht="51" x14ac:dyDescent="0.25">
      <c r="A497" s="8"/>
      <c r="B497" s="6"/>
      <c r="C497" s="21" t="s">
        <v>30</v>
      </c>
      <c r="D497" s="20" t="s">
        <v>404</v>
      </c>
      <c r="E497" s="15">
        <f>0</f>
        <v>0</v>
      </c>
      <c r="F497" s="15">
        <f>0</f>
        <v>0</v>
      </c>
      <c r="G497" s="15" t="s">
        <v>18</v>
      </c>
      <c r="H497" s="15">
        <f>0</f>
        <v>0</v>
      </c>
    </row>
    <row r="498" spans="1:8" ht="51" x14ac:dyDescent="0.25">
      <c r="A498" s="8"/>
      <c r="B498" s="6"/>
      <c r="C498" s="21" t="s">
        <v>87</v>
      </c>
      <c r="D498" s="20" t="s">
        <v>405</v>
      </c>
      <c r="E498" s="15">
        <f>0</f>
        <v>0</v>
      </c>
      <c r="F498" s="15">
        <f>0</f>
        <v>0</v>
      </c>
      <c r="G498" s="15" t="s">
        <v>18</v>
      </c>
      <c r="H498" s="15">
        <f>0</f>
        <v>0</v>
      </c>
    </row>
    <row r="499" spans="1:8" ht="51" x14ac:dyDescent="0.25">
      <c r="A499" s="8"/>
      <c r="B499" s="6"/>
      <c r="C499" s="21" t="s">
        <v>89</v>
      </c>
      <c r="D499" s="20" t="s">
        <v>406</v>
      </c>
      <c r="E499" s="15">
        <f>0</f>
        <v>0</v>
      </c>
      <c r="F499" s="15">
        <f>0</f>
        <v>0</v>
      </c>
      <c r="G499" s="15" t="s">
        <v>18</v>
      </c>
      <c r="H499" s="15">
        <f>0</f>
        <v>0</v>
      </c>
    </row>
    <row r="500" spans="1:8" ht="51" x14ac:dyDescent="0.25">
      <c r="A500" s="8"/>
      <c r="B500" s="6"/>
      <c r="C500" s="19" t="s">
        <v>82</v>
      </c>
      <c r="D500" s="19" t="s">
        <v>407</v>
      </c>
      <c r="E500" s="14">
        <f>E501</f>
        <v>0</v>
      </c>
      <c r="F500" s="14">
        <f>F501</f>
        <v>0</v>
      </c>
      <c r="G500" s="14" t="s">
        <v>18</v>
      </c>
      <c r="H500" s="14">
        <f>H501</f>
        <v>0</v>
      </c>
    </row>
    <row r="501" spans="1:8" ht="63.75" x14ac:dyDescent="0.25">
      <c r="A501" s="8"/>
      <c r="B501" s="6"/>
      <c r="C501" s="20" t="s">
        <v>12</v>
      </c>
      <c r="D501" s="20" t="s">
        <v>408</v>
      </c>
      <c r="E501" s="15">
        <f>E502+E503+E504</f>
        <v>0</v>
      </c>
      <c r="F501" s="15">
        <f>F502+F503+F504</f>
        <v>0</v>
      </c>
      <c r="G501" s="15" t="s">
        <v>18</v>
      </c>
      <c r="H501" s="15">
        <f>H502+H503+H504</f>
        <v>0</v>
      </c>
    </row>
    <row r="502" spans="1:8" ht="51" x14ac:dyDescent="0.25">
      <c r="A502" s="8"/>
      <c r="B502" s="6"/>
      <c r="C502" s="21" t="s">
        <v>26</v>
      </c>
      <c r="D502" s="20" t="s">
        <v>409</v>
      </c>
      <c r="E502" s="15">
        <f>0</f>
        <v>0</v>
      </c>
      <c r="F502" s="15">
        <f>0</f>
        <v>0</v>
      </c>
      <c r="G502" s="15" t="s">
        <v>18</v>
      </c>
      <c r="H502" s="15">
        <f>0</f>
        <v>0</v>
      </c>
    </row>
    <row r="503" spans="1:8" ht="51" x14ac:dyDescent="0.25">
      <c r="A503" s="8"/>
      <c r="B503" s="6"/>
      <c r="C503" s="21" t="s">
        <v>28</v>
      </c>
      <c r="D503" s="20" t="s">
        <v>410</v>
      </c>
      <c r="E503" s="15">
        <f>0</f>
        <v>0</v>
      </c>
      <c r="F503" s="15">
        <f>0</f>
        <v>0</v>
      </c>
      <c r="G503" s="15" t="s">
        <v>18</v>
      </c>
      <c r="H503" s="15">
        <f>0</f>
        <v>0</v>
      </c>
    </row>
    <row r="504" spans="1:8" ht="51" x14ac:dyDescent="0.25">
      <c r="A504" s="8"/>
      <c r="B504" s="6"/>
      <c r="C504" s="21" t="s">
        <v>30</v>
      </c>
      <c r="D504" s="20" t="s">
        <v>411</v>
      </c>
      <c r="E504" s="15">
        <f>0</f>
        <v>0</v>
      </c>
      <c r="F504" s="15">
        <f>0</f>
        <v>0</v>
      </c>
      <c r="G504" s="15" t="s">
        <v>18</v>
      </c>
      <c r="H504" s="15">
        <f>0</f>
        <v>0</v>
      </c>
    </row>
    <row r="505" spans="1:8" ht="51" x14ac:dyDescent="0.25">
      <c r="A505" s="8"/>
      <c r="B505" s="6"/>
      <c r="C505" s="19" t="s">
        <v>207</v>
      </c>
      <c r="D505" s="19" t="s">
        <v>412</v>
      </c>
      <c r="E505" s="14">
        <f>E506+E511</f>
        <v>53078.21</v>
      </c>
      <c r="F505" s="14">
        <f>F506+F511</f>
        <v>52375.649999999994</v>
      </c>
      <c r="G505" s="14" t="s">
        <v>1215</v>
      </c>
      <c r="H505" s="14">
        <f>H506+H511</f>
        <v>52375.649999999994</v>
      </c>
    </row>
    <row r="506" spans="1:8" ht="51" x14ac:dyDescent="0.25">
      <c r="A506" s="8"/>
      <c r="B506" s="6"/>
      <c r="C506" s="20" t="s">
        <v>12</v>
      </c>
      <c r="D506" s="20" t="s">
        <v>413</v>
      </c>
      <c r="E506" s="15">
        <f>E507+E508+E509+E510</f>
        <v>50955.040000000001</v>
      </c>
      <c r="F506" s="15">
        <f>F507+F508+F509+F510</f>
        <v>50252.49</v>
      </c>
      <c r="G506" s="15" t="s">
        <v>1215</v>
      </c>
      <c r="H506" s="15">
        <f>H507+H508+H509+H510</f>
        <v>50252.49</v>
      </c>
    </row>
    <row r="507" spans="1:8" ht="63.75" x14ac:dyDescent="0.25">
      <c r="A507" s="8"/>
      <c r="B507" s="6"/>
      <c r="C507" s="21" t="s">
        <v>26</v>
      </c>
      <c r="D507" s="20" t="s">
        <v>414</v>
      </c>
      <c r="E507" s="15">
        <f>8945.04+42010</f>
        <v>50955.040000000001</v>
      </c>
      <c r="F507" s="15">
        <f>8820.14+41432.35</f>
        <v>50252.49</v>
      </c>
      <c r="G507" s="15" t="s">
        <v>1215</v>
      </c>
      <c r="H507" s="15">
        <f>8820.14+41432.35</f>
        <v>50252.49</v>
      </c>
    </row>
    <row r="508" spans="1:8" ht="89.25" x14ac:dyDescent="0.25">
      <c r="A508" s="8"/>
      <c r="B508" s="6"/>
      <c r="C508" s="21" t="s">
        <v>28</v>
      </c>
      <c r="D508" s="20" t="s">
        <v>415</v>
      </c>
      <c r="E508" s="15">
        <f>0</f>
        <v>0</v>
      </c>
      <c r="F508" s="15">
        <f>0</f>
        <v>0</v>
      </c>
      <c r="G508" s="15" t="s">
        <v>18</v>
      </c>
      <c r="H508" s="15">
        <f>0</f>
        <v>0</v>
      </c>
    </row>
    <row r="509" spans="1:8" ht="63.75" x14ac:dyDescent="0.25">
      <c r="A509" s="8"/>
      <c r="B509" s="6"/>
      <c r="C509" s="21" t="s">
        <v>30</v>
      </c>
      <c r="D509" s="20" t="s">
        <v>416</v>
      </c>
      <c r="E509" s="15">
        <f>0</f>
        <v>0</v>
      </c>
      <c r="F509" s="15">
        <f>0</f>
        <v>0</v>
      </c>
      <c r="G509" s="15" t="s">
        <v>18</v>
      </c>
      <c r="H509" s="15">
        <f>0</f>
        <v>0</v>
      </c>
    </row>
    <row r="510" spans="1:8" ht="51" x14ac:dyDescent="0.25">
      <c r="A510" s="8"/>
      <c r="B510" s="6"/>
      <c r="C510" s="21" t="s">
        <v>87</v>
      </c>
      <c r="D510" s="20" t="s">
        <v>417</v>
      </c>
      <c r="E510" s="15">
        <f>0</f>
        <v>0</v>
      </c>
      <c r="F510" s="15">
        <f>0</f>
        <v>0</v>
      </c>
      <c r="G510" s="15" t="s">
        <v>18</v>
      </c>
      <c r="H510" s="15">
        <f>0</f>
        <v>0</v>
      </c>
    </row>
    <row r="511" spans="1:8" ht="51" x14ac:dyDescent="0.25">
      <c r="A511" s="8"/>
      <c r="B511" s="6"/>
      <c r="C511" s="20" t="s">
        <v>14</v>
      </c>
      <c r="D511" s="20" t="s">
        <v>418</v>
      </c>
      <c r="E511" s="15">
        <f>E512</f>
        <v>2123.17</v>
      </c>
      <c r="F511" s="15">
        <f>F512</f>
        <v>2123.16</v>
      </c>
      <c r="G511" s="27" t="s">
        <v>446</v>
      </c>
      <c r="H511" s="15">
        <f>H512</f>
        <v>2123.16</v>
      </c>
    </row>
    <row r="512" spans="1:8" ht="63.75" x14ac:dyDescent="0.25">
      <c r="A512" s="8"/>
      <c r="B512" s="6"/>
      <c r="C512" s="21" t="s">
        <v>33</v>
      </c>
      <c r="D512" s="20" t="s">
        <v>419</v>
      </c>
      <c r="E512" s="15">
        <f>1723.17+400</f>
        <v>2123.17</v>
      </c>
      <c r="F512" s="15">
        <f>1723.16+400</f>
        <v>2123.16</v>
      </c>
      <c r="G512" s="27" t="s">
        <v>446</v>
      </c>
      <c r="H512" s="15">
        <f>1723.16+400</f>
        <v>2123.16</v>
      </c>
    </row>
    <row r="513" spans="1:8" ht="51" x14ac:dyDescent="0.25">
      <c r="A513" s="8"/>
      <c r="B513" s="6"/>
      <c r="C513" s="19" t="s">
        <v>213</v>
      </c>
      <c r="D513" s="19" t="s">
        <v>420</v>
      </c>
      <c r="E513" s="14">
        <f>E514+E516</f>
        <v>0</v>
      </c>
      <c r="F513" s="14">
        <f>F514+F516</f>
        <v>0</v>
      </c>
      <c r="G513" s="14" t="s">
        <v>18</v>
      </c>
      <c r="H513" s="14">
        <f>H514+H516</f>
        <v>0</v>
      </c>
    </row>
    <row r="514" spans="1:8" ht="51" x14ac:dyDescent="0.25">
      <c r="A514" s="8"/>
      <c r="B514" s="6"/>
      <c r="C514" s="20" t="s">
        <v>12</v>
      </c>
      <c r="D514" s="20" t="s">
        <v>421</v>
      </c>
      <c r="E514" s="15">
        <f>E515</f>
        <v>0</v>
      </c>
      <c r="F514" s="15">
        <f>F515</f>
        <v>0</v>
      </c>
      <c r="G514" s="15" t="s">
        <v>18</v>
      </c>
      <c r="H514" s="15">
        <f>H515</f>
        <v>0</v>
      </c>
    </row>
    <row r="515" spans="1:8" ht="51" x14ac:dyDescent="0.25">
      <c r="A515" s="8"/>
      <c r="B515" s="6"/>
      <c r="C515" s="21" t="s">
        <v>26</v>
      </c>
      <c r="D515" s="20" t="s">
        <v>421</v>
      </c>
      <c r="E515" s="15">
        <f>0</f>
        <v>0</v>
      </c>
      <c r="F515" s="15">
        <f>0</f>
        <v>0</v>
      </c>
      <c r="G515" s="15" t="s">
        <v>18</v>
      </c>
      <c r="H515" s="15">
        <f>0</f>
        <v>0</v>
      </c>
    </row>
    <row r="516" spans="1:8" ht="51" x14ac:dyDescent="0.25">
      <c r="A516" s="8"/>
      <c r="B516" s="6"/>
      <c r="C516" s="20" t="s">
        <v>14</v>
      </c>
      <c r="D516" s="20" t="s">
        <v>422</v>
      </c>
      <c r="E516" s="15">
        <f>E517</f>
        <v>0</v>
      </c>
      <c r="F516" s="15">
        <f>F517</f>
        <v>0</v>
      </c>
      <c r="G516" s="15" t="s">
        <v>18</v>
      </c>
      <c r="H516" s="15">
        <f>H517</f>
        <v>0</v>
      </c>
    </row>
    <row r="517" spans="1:8" ht="51" x14ac:dyDescent="0.25">
      <c r="A517" s="8"/>
      <c r="B517" s="6"/>
      <c r="C517" s="21" t="s">
        <v>33</v>
      </c>
      <c r="D517" s="20" t="s">
        <v>423</v>
      </c>
      <c r="E517" s="15">
        <f>0</f>
        <v>0</v>
      </c>
      <c r="F517" s="15">
        <f>0</f>
        <v>0</v>
      </c>
      <c r="G517" s="15" t="s">
        <v>18</v>
      </c>
      <c r="H517" s="15">
        <f>0</f>
        <v>0</v>
      </c>
    </row>
    <row r="518" spans="1:8" ht="102" x14ac:dyDescent="0.25">
      <c r="A518" s="8"/>
      <c r="B518" s="6"/>
      <c r="C518" s="19" t="s">
        <v>222</v>
      </c>
      <c r="D518" s="19" t="s">
        <v>424</v>
      </c>
      <c r="E518" s="14">
        <f>E519</f>
        <v>0</v>
      </c>
      <c r="F518" s="14">
        <f>F519</f>
        <v>0</v>
      </c>
      <c r="G518" s="14" t="s">
        <v>18</v>
      </c>
      <c r="H518" s="14">
        <f>H519</f>
        <v>0</v>
      </c>
    </row>
    <row r="519" spans="1:8" ht="102" x14ac:dyDescent="0.25">
      <c r="A519" s="8"/>
      <c r="B519" s="6"/>
      <c r="C519" s="20" t="s">
        <v>12</v>
      </c>
      <c r="D519" s="20" t="s">
        <v>425</v>
      </c>
      <c r="E519" s="15">
        <f>E520</f>
        <v>0</v>
      </c>
      <c r="F519" s="15">
        <f>F520</f>
        <v>0</v>
      </c>
      <c r="G519" s="15" t="s">
        <v>18</v>
      </c>
      <c r="H519" s="15">
        <f>H520</f>
        <v>0</v>
      </c>
    </row>
    <row r="520" spans="1:8" ht="102" x14ac:dyDescent="0.25">
      <c r="A520" s="8"/>
      <c r="B520" s="6"/>
      <c r="C520" s="21" t="s">
        <v>26</v>
      </c>
      <c r="D520" s="20" t="s">
        <v>425</v>
      </c>
      <c r="E520" s="15">
        <f>0</f>
        <v>0</v>
      </c>
      <c r="F520" s="15">
        <f>0</f>
        <v>0</v>
      </c>
      <c r="G520" s="15" t="s">
        <v>18</v>
      </c>
      <c r="H520" s="15">
        <f>0</f>
        <v>0</v>
      </c>
    </row>
    <row r="521" spans="1:8" ht="38.25" x14ac:dyDescent="0.25">
      <c r="A521" s="8"/>
      <c r="B521" s="6"/>
      <c r="C521" s="19" t="s">
        <v>426</v>
      </c>
      <c r="D521" s="19" t="s">
        <v>427</v>
      </c>
      <c r="E521" s="14">
        <f>E522+E526+E528</f>
        <v>4769.72</v>
      </c>
      <c r="F521" s="14">
        <f>F522+F526+F528</f>
        <v>4764.43</v>
      </c>
      <c r="G521" s="26" t="s">
        <v>446</v>
      </c>
      <c r="H521" s="14">
        <f>H522+H526+H528</f>
        <v>4764.43</v>
      </c>
    </row>
    <row r="522" spans="1:8" ht="38.25" x14ac:dyDescent="0.25">
      <c r="A522" s="8"/>
      <c r="B522" s="6"/>
      <c r="C522" s="20" t="s">
        <v>12</v>
      </c>
      <c r="D522" s="20" t="s">
        <v>428</v>
      </c>
      <c r="E522" s="15">
        <f>E523+E524+E525</f>
        <v>4769.72</v>
      </c>
      <c r="F522" s="15">
        <f>F523+F524+F525</f>
        <v>4764.43</v>
      </c>
      <c r="G522" s="27" t="s">
        <v>446</v>
      </c>
      <c r="H522" s="15">
        <f>H523+H524+H525</f>
        <v>4764.43</v>
      </c>
    </row>
    <row r="523" spans="1:8" ht="76.5" x14ac:dyDescent="0.25">
      <c r="A523" s="8"/>
      <c r="B523" s="6"/>
      <c r="C523" s="21" t="s">
        <v>26</v>
      </c>
      <c r="D523" s="20" t="s">
        <v>429</v>
      </c>
      <c r="E523" s="15">
        <f>4769.72</f>
        <v>4769.72</v>
      </c>
      <c r="F523" s="15">
        <f>4764.43</f>
        <v>4764.43</v>
      </c>
      <c r="G523" s="27" t="s">
        <v>446</v>
      </c>
      <c r="H523" s="15">
        <f>4764.43</f>
        <v>4764.43</v>
      </c>
    </row>
    <row r="524" spans="1:8" ht="63.75" x14ac:dyDescent="0.25">
      <c r="A524" s="8"/>
      <c r="B524" s="6"/>
      <c r="C524" s="21" t="s">
        <v>28</v>
      </c>
      <c r="D524" s="20" t="s">
        <v>430</v>
      </c>
      <c r="E524" s="15">
        <f>0</f>
        <v>0</v>
      </c>
      <c r="F524" s="15">
        <f>0</f>
        <v>0</v>
      </c>
      <c r="G524" s="15" t="s">
        <v>18</v>
      </c>
      <c r="H524" s="15">
        <f>0</f>
        <v>0</v>
      </c>
    </row>
    <row r="525" spans="1:8" ht="140.25" x14ac:dyDescent="0.25">
      <c r="A525" s="8"/>
      <c r="B525" s="6"/>
      <c r="C525" s="21" t="s">
        <v>30</v>
      </c>
      <c r="D525" s="20" t="s">
        <v>431</v>
      </c>
      <c r="E525" s="15">
        <f>0</f>
        <v>0</v>
      </c>
      <c r="F525" s="15">
        <f>0</f>
        <v>0</v>
      </c>
      <c r="G525" s="15" t="s">
        <v>18</v>
      </c>
      <c r="H525" s="15">
        <f>0</f>
        <v>0</v>
      </c>
    </row>
    <row r="526" spans="1:8" ht="51" x14ac:dyDescent="0.25">
      <c r="A526" s="8"/>
      <c r="B526" s="6"/>
      <c r="C526" s="20" t="s">
        <v>14</v>
      </c>
      <c r="D526" s="20" t="s">
        <v>432</v>
      </c>
      <c r="E526" s="15">
        <f>E527</f>
        <v>0</v>
      </c>
      <c r="F526" s="15">
        <f>F527</f>
        <v>0</v>
      </c>
      <c r="G526" s="15" t="s">
        <v>18</v>
      </c>
      <c r="H526" s="15">
        <f>H527</f>
        <v>0</v>
      </c>
    </row>
    <row r="527" spans="1:8" ht="51" x14ac:dyDescent="0.25">
      <c r="A527" s="8"/>
      <c r="B527" s="6"/>
      <c r="C527" s="21" t="s">
        <v>33</v>
      </c>
      <c r="D527" s="20" t="s">
        <v>433</v>
      </c>
      <c r="E527" s="15">
        <f>0</f>
        <v>0</v>
      </c>
      <c r="F527" s="15">
        <f>0</f>
        <v>0</v>
      </c>
      <c r="G527" s="15" t="s">
        <v>18</v>
      </c>
      <c r="H527" s="15">
        <f>0</f>
        <v>0</v>
      </c>
    </row>
    <row r="528" spans="1:8" ht="51" x14ac:dyDescent="0.25">
      <c r="A528" s="8"/>
      <c r="B528" s="6"/>
      <c r="C528" s="20" t="s">
        <v>16</v>
      </c>
      <c r="D528" s="20" t="s">
        <v>434</v>
      </c>
      <c r="E528" s="15">
        <f>E529</f>
        <v>0</v>
      </c>
      <c r="F528" s="15">
        <f>F529</f>
        <v>0</v>
      </c>
      <c r="G528" s="15" t="s">
        <v>18</v>
      </c>
      <c r="H528" s="15">
        <f>H529</f>
        <v>0</v>
      </c>
    </row>
    <row r="529" spans="1:8" ht="51" x14ac:dyDescent="0.25">
      <c r="A529" s="8"/>
      <c r="B529" s="6"/>
      <c r="C529" s="21" t="s">
        <v>38</v>
      </c>
      <c r="D529" s="20" t="s">
        <v>434</v>
      </c>
      <c r="E529" s="15">
        <f>0</f>
        <v>0</v>
      </c>
      <c r="F529" s="15">
        <f>0</f>
        <v>0</v>
      </c>
      <c r="G529" s="15" t="s">
        <v>18</v>
      </c>
      <c r="H529" s="15">
        <f>0</f>
        <v>0</v>
      </c>
    </row>
    <row r="530" spans="1:8" ht="38.25" x14ac:dyDescent="0.25">
      <c r="A530" s="8"/>
      <c r="B530" s="6"/>
      <c r="C530" s="19" t="s">
        <v>435</v>
      </c>
      <c r="D530" s="19" t="s">
        <v>436</v>
      </c>
      <c r="E530" s="14">
        <f>E531+E532</f>
        <v>2464</v>
      </c>
      <c r="F530" s="14">
        <f>F531+F532</f>
        <v>2464</v>
      </c>
      <c r="G530" s="26" t="s">
        <v>446</v>
      </c>
      <c r="H530" s="14">
        <f>H531+H532</f>
        <v>2464</v>
      </c>
    </row>
    <row r="531" spans="1:8" ht="76.5" x14ac:dyDescent="0.25">
      <c r="A531" s="8"/>
      <c r="B531" s="6"/>
      <c r="C531" s="20" t="s">
        <v>12</v>
      </c>
      <c r="D531" s="20" t="s">
        <v>437</v>
      </c>
      <c r="E531" s="15">
        <f>2392.5</f>
        <v>2392.5</v>
      </c>
      <c r="F531" s="15">
        <f>2392.5</f>
        <v>2392.5</v>
      </c>
      <c r="G531" s="27" t="s">
        <v>446</v>
      </c>
      <c r="H531" s="15">
        <f>2392.5</f>
        <v>2392.5</v>
      </c>
    </row>
    <row r="532" spans="1:8" ht="38.25" x14ac:dyDescent="0.25">
      <c r="A532" s="8"/>
      <c r="B532" s="6"/>
      <c r="C532" s="20" t="s">
        <v>14</v>
      </c>
      <c r="D532" s="20" t="s">
        <v>438</v>
      </c>
      <c r="E532" s="15">
        <f>71.5</f>
        <v>71.5</v>
      </c>
      <c r="F532" s="15">
        <f>71.5</f>
        <v>71.5</v>
      </c>
      <c r="G532" s="27" t="s">
        <v>446</v>
      </c>
      <c r="H532" s="15">
        <f>71.5</f>
        <v>71.5</v>
      </c>
    </row>
    <row r="533" spans="1:8" ht="15" customHeight="1" x14ac:dyDescent="0.25">
      <c r="A533" s="8"/>
      <c r="B533" s="6"/>
      <c r="C533" s="22" t="s">
        <v>90</v>
      </c>
      <c r="D533" s="22"/>
      <c r="E533" s="16">
        <f>E483+E488+E493+E500+E505+E513+E518+E521+E530</f>
        <v>178379.41999999998</v>
      </c>
      <c r="F533" s="16">
        <f>F483+F488+F493+F500+F505+F513+F518+F521+F530</f>
        <v>177671.53999999998</v>
      </c>
      <c r="G533" s="29" t="s">
        <v>444</v>
      </c>
      <c r="H533" s="16">
        <f>H483+H488+H493+H500+H505+H513+H518+H521+H530</f>
        <v>177671.53999999998</v>
      </c>
    </row>
    <row r="534" spans="1:8" ht="38.25" x14ac:dyDescent="0.25">
      <c r="A534" s="8">
        <v>8</v>
      </c>
      <c r="B534" s="6" t="s">
        <v>719</v>
      </c>
      <c r="C534" s="19" t="s">
        <v>10</v>
      </c>
      <c r="D534" s="19" t="s">
        <v>720</v>
      </c>
      <c r="E534" s="14">
        <f>E535+E536+E537+E538+E539</f>
        <v>3340.7899999999995</v>
      </c>
      <c r="F534" s="14">
        <f>F535+F536+F537+F538+F539</f>
        <v>3209.1800000000003</v>
      </c>
      <c r="G534" s="14" t="s">
        <v>464</v>
      </c>
      <c r="H534" s="14">
        <f>H535+H536+H537+H538+H539</f>
        <v>3209.1800000000003</v>
      </c>
    </row>
    <row r="535" spans="1:8" ht="63.75" x14ac:dyDescent="0.25">
      <c r="A535" s="8"/>
      <c r="B535" s="6"/>
      <c r="C535" s="20" t="s">
        <v>12</v>
      </c>
      <c r="D535" s="20" t="s">
        <v>721</v>
      </c>
      <c r="E535" s="15">
        <f>1345.11</f>
        <v>1345.11</v>
      </c>
      <c r="F535" s="15">
        <f>1246.09</f>
        <v>1246.0899999999999</v>
      </c>
      <c r="G535" s="15" t="s">
        <v>722</v>
      </c>
      <c r="H535" s="15">
        <f>1246.09</f>
        <v>1246.0899999999999</v>
      </c>
    </row>
    <row r="536" spans="1:8" ht="63.75" x14ac:dyDescent="0.25">
      <c r="A536" s="8"/>
      <c r="B536" s="6"/>
      <c r="C536" s="20" t="s">
        <v>14</v>
      </c>
      <c r="D536" s="20" t="s">
        <v>723</v>
      </c>
      <c r="E536" s="15">
        <f>1362</f>
        <v>1362</v>
      </c>
      <c r="F536" s="15">
        <f>1362</f>
        <v>1362</v>
      </c>
      <c r="G536" s="15" t="s">
        <v>446</v>
      </c>
      <c r="H536" s="15">
        <f>1362</f>
        <v>1362</v>
      </c>
    </row>
    <row r="537" spans="1:8" ht="38.25" x14ac:dyDescent="0.25">
      <c r="A537" s="8"/>
      <c r="B537" s="6"/>
      <c r="C537" s="20" t="s">
        <v>16</v>
      </c>
      <c r="D537" s="20" t="s">
        <v>724</v>
      </c>
      <c r="E537" s="15">
        <f>633.68</f>
        <v>633.67999999999995</v>
      </c>
      <c r="F537" s="15">
        <f>601.09</f>
        <v>601.09</v>
      </c>
      <c r="G537" s="15" t="s">
        <v>725</v>
      </c>
      <c r="H537" s="15">
        <f>601.09</f>
        <v>601.09</v>
      </c>
    </row>
    <row r="538" spans="1:8" ht="140.25" x14ac:dyDescent="0.25">
      <c r="A538" s="8"/>
      <c r="B538" s="6"/>
      <c r="C538" s="20" t="s">
        <v>19</v>
      </c>
      <c r="D538" s="20" t="s">
        <v>726</v>
      </c>
      <c r="E538" s="15">
        <f>0</f>
        <v>0</v>
      </c>
      <c r="F538" s="15">
        <f>0</f>
        <v>0</v>
      </c>
      <c r="G538" s="15" t="s">
        <v>18</v>
      </c>
      <c r="H538" s="15">
        <f>0</f>
        <v>0</v>
      </c>
    </row>
    <row r="539" spans="1:8" ht="51" x14ac:dyDescent="0.25">
      <c r="A539" s="8"/>
      <c r="B539" s="6"/>
      <c r="C539" s="20" t="s">
        <v>21</v>
      </c>
      <c r="D539" s="20" t="s">
        <v>727</v>
      </c>
      <c r="E539" s="15">
        <f>0</f>
        <v>0</v>
      </c>
      <c r="F539" s="15">
        <f>0</f>
        <v>0</v>
      </c>
      <c r="G539" s="15" t="s">
        <v>18</v>
      </c>
      <c r="H539" s="15">
        <f>0</f>
        <v>0</v>
      </c>
    </row>
    <row r="540" spans="1:8" ht="38.25" x14ac:dyDescent="0.25">
      <c r="A540" s="8"/>
      <c r="B540" s="6"/>
      <c r="C540" s="19" t="s">
        <v>23</v>
      </c>
      <c r="D540" s="19" t="s">
        <v>728</v>
      </c>
      <c r="E540" s="14">
        <f>E541+E542+E543</f>
        <v>129382.95000000001</v>
      </c>
      <c r="F540" s="14">
        <f>F541+F542+F543</f>
        <v>129375.51000000001</v>
      </c>
      <c r="G540" s="14" t="s">
        <v>446</v>
      </c>
      <c r="H540" s="14">
        <f>H541+H542+H543</f>
        <v>129375.51000000001</v>
      </c>
    </row>
    <row r="541" spans="1:8" ht="38.25" x14ac:dyDescent="0.25">
      <c r="A541" s="8"/>
      <c r="B541" s="6"/>
      <c r="C541" s="20" t="s">
        <v>12</v>
      </c>
      <c r="D541" s="20" t="s">
        <v>729</v>
      </c>
      <c r="E541" s="15">
        <f>13743.83</f>
        <v>13743.83</v>
      </c>
      <c r="F541" s="15">
        <f>13742.78</f>
        <v>13742.78</v>
      </c>
      <c r="G541" s="15" t="s">
        <v>446</v>
      </c>
      <c r="H541" s="15">
        <f>13742.78</f>
        <v>13742.78</v>
      </c>
    </row>
    <row r="542" spans="1:8" ht="38.25" x14ac:dyDescent="0.25">
      <c r="A542" s="8"/>
      <c r="B542" s="6"/>
      <c r="C542" s="20" t="s">
        <v>14</v>
      </c>
      <c r="D542" s="20" t="s">
        <v>730</v>
      </c>
      <c r="E542" s="15">
        <f>49172.13</f>
        <v>49172.13</v>
      </c>
      <c r="F542" s="15">
        <f>49172.13</f>
        <v>49172.13</v>
      </c>
      <c r="G542" s="15" t="s">
        <v>446</v>
      </c>
      <c r="H542" s="15">
        <f>49172.13</f>
        <v>49172.13</v>
      </c>
    </row>
    <row r="543" spans="1:8" ht="63.75" x14ac:dyDescent="0.25">
      <c r="A543" s="8"/>
      <c r="B543" s="6"/>
      <c r="C543" s="20" t="s">
        <v>16</v>
      </c>
      <c r="D543" s="20" t="s">
        <v>731</v>
      </c>
      <c r="E543" s="15">
        <f>66466.99</f>
        <v>66466.990000000005</v>
      </c>
      <c r="F543" s="15">
        <f>66460.6</f>
        <v>66460.600000000006</v>
      </c>
      <c r="G543" s="15" t="s">
        <v>446</v>
      </c>
      <c r="H543" s="15">
        <f>66460.6</f>
        <v>66460.600000000006</v>
      </c>
    </row>
    <row r="544" spans="1:8" ht="38.25" x14ac:dyDescent="0.25">
      <c r="A544" s="8"/>
      <c r="B544" s="6"/>
      <c r="C544" s="19" t="s">
        <v>63</v>
      </c>
      <c r="D544" s="19" t="s">
        <v>732</v>
      </c>
      <c r="E544" s="14">
        <f>SUM(E545:E559)</f>
        <v>5889.4</v>
      </c>
      <c r="F544" s="14">
        <f>SUM(F545:F559)</f>
        <v>5879.3899999999994</v>
      </c>
      <c r="G544" s="14" t="s">
        <v>527</v>
      </c>
      <c r="H544" s="14">
        <f>SUM(H545:H559)</f>
        <v>5879.3899999999994</v>
      </c>
    </row>
    <row r="545" spans="1:8" ht="51" x14ac:dyDescent="0.25">
      <c r="A545" s="8"/>
      <c r="B545" s="6"/>
      <c r="C545" s="20" t="s">
        <v>12</v>
      </c>
      <c r="D545" s="20" t="s">
        <v>733</v>
      </c>
      <c r="E545" s="15">
        <f>0</f>
        <v>0</v>
      </c>
      <c r="F545" s="15">
        <f>0</f>
        <v>0</v>
      </c>
      <c r="G545" s="15" t="s">
        <v>532</v>
      </c>
      <c r="H545" s="15">
        <f>0</f>
        <v>0</v>
      </c>
    </row>
    <row r="546" spans="1:8" ht="51" x14ac:dyDescent="0.25">
      <c r="A546" s="8"/>
      <c r="B546" s="6"/>
      <c r="C546" s="20" t="s">
        <v>14</v>
      </c>
      <c r="D546" s="20" t="s">
        <v>734</v>
      </c>
      <c r="E546" s="15">
        <f>0</f>
        <v>0</v>
      </c>
      <c r="F546" s="15">
        <f>0</f>
        <v>0</v>
      </c>
      <c r="G546" s="15" t="s">
        <v>532</v>
      </c>
      <c r="H546" s="15">
        <f>0</f>
        <v>0</v>
      </c>
    </row>
    <row r="547" spans="1:8" ht="267.75" x14ac:dyDescent="0.25">
      <c r="A547" s="8"/>
      <c r="B547" s="6"/>
      <c r="C547" s="20" t="s">
        <v>16</v>
      </c>
      <c r="D547" s="20" t="s">
        <v>735</v>
      </c>
      <c r="E547" s="15">
        <f>0</f>
        <v>0</v>
      </c>
      <c r="F547" s="15">
        <f>0</f>
        <v>0</v>
      </c>
      <c r="G547" s="15" t="s">
        <v>532</v>
      </c>
      <c r="H547" s="15">
        <f>0</f>
        <v>0</v>
      </c>
    </row>
    <row r="548" spans="1:8" ht="76.5" x14ac:dyDescent="0.25">
      <c r="A548" s="8"/>
      <c r="B548" s="6"/>
      <c r="C548" s="20" t="s">
        <v>19</v>
      </c>
      <c r="D548" s="20" t="s">
        <v>736</v>
      </c>
      <c r="E548" s="15">
        <f>0</f>
        <v>0</v>
      </c>
      <c r="F548" s="15">
        <f>0</f>
        <v>0</v>
      </c>
      <c r="G548" s="15" t="s">
        <v>532</v>
      </c>
      <c r="H548" s="15">
        <f>0</f>
        <v>0</v>
      </c>
    </row>
    <row r="549" spans="1:8" ht="51" x14ac:dyDescent="0.25">
      <c r="A549" s="8"/>
      <c r="B549" s="6"/>
      <c r="C549" s="20" t="s">
        <v>21</v>
      </c>
      <c r="D549" s="20" t="s">
        <v>737</v>
      </c>
      <c r="E549" s="15">
        <f>0</f>
        <v>0</v>
      </c>
      <c r="F549" s="15">
        <f>0</f>
        <v>0</v>
      </c>
      <c r="G549" s="15" t="s">
        <v>532</v>
      </c>
      <c r="H549" s="15">
        <f>0</f>
        <v>0</v>
      </c>
    </row>
    <row r="550" spans="1:8" ht="51" x14ac:dyDescent="0.25">
      <c r="A550" s="8"/>
      <c r="B550" s="6"/>
      <c r="C550" s="20" t="s">
        <v>70</v>
      </c>
      <c r="D550" s="20" t="s">
        <v>738</v>
      </c>
      <c r="E550" s="15">
        <f>0</f>
        <v>0</v>
      </c>
      <c r="F550" s="15">
        <f>0</f>
        <v>0</v>
      </c>
      <c r="G550" s="15" t="s">
        <v>532</v>
      </c>
      <c r="H550" s="15">
        <f>0</f>
        <v>0</v>
      </c>
    </row>
    <row r="551" spans="1:8" ht="51" x14ac:dyDescent="0.25">
      <c r="A551" s="8"/>
      <c r="B551" s="6"/>
      <c r="C551" s="20" t="s">
        <v>72</v>
      </c>
      <c r="D551" s="20" t="s">
        <v>739</v>
      </c>
      <c r="E551" s="15">
        <f>0</f>
        <v>0</v>
      </c>
      <c r="F551" s="15">
        <f>0</f>
        <v>0</v>
      </c>
      <c r="G551" s="15" t="s">
        <v>532</v>
      </c>
      <c r="H551" s="15">
        <f>0</f>
        <v>0</v>
      </c>
    </row>
    <row r="552" spans="1:8" ht="51" x14ac:dyDescent="0.25">
      <c r="A552" s="8"/>
      <c r="B552" s="6"/>
      <c r="C552" s="20" t="s">
        <v>74</v>
      </c>
      <c r="D552" s="20" t="s">
        <v>740</v>
      </c>
      <c r="E552" s="15">
        <f>0</f>
        <v>0</v>
      </c>
      <c r="F552" s="15">
        <f>0</f>
        <v>0</v>
      </c>
      <c r="G552" s="15" t="s">
        <v>532</v>
      </c>
      <c r="H552" s="15">
        <f>0</f>
        <v>0</v>
      </c>
    </row>
    <row r="553" spans="1:8" ht="51" x14ac:dyDescent="0.25">
      <c r="A553" s="8"/>
      <c r="B553" s="6"/>
      <c r="C553" s="20" t="s">
        <v>77</v>
      </c>
      <c r="D553" s="20" t="s">
        <v>741</v>
      </c>
      <c r="E553" s="15">
        <f>0</f>
        <v>0</v>
      </c>
      <c r="F553" s="15">
        <f>0</f>
        <v>0</v>
      </c>
      <c r="G553" s="15" t="s">
        <v>532</v>
      </c>
      <c r="H553" s="15">
        <f>0</f>
        <v>0</v>
      </c>
    </row>
    <row r="554" spans="1:8" ht="51" x14ac:dyDescent="0.25">
      <c r="A554" s="8"/>
      <c r="B554" s="6"/>
      <c r="C554" s="20" t="s">
        <v>79</v>
      </c>
      <c r="D554" s="20" t="s">
        <v>742</v>
      </c>
      <c r="E554" s="15">
        <f>0</f>
        <v>0</v>
      </c>
      <c r="F554" s="15">
        <f>0</f>
        <v>0</v>
      </c>
      <c r="G554" s="15" t="s">
        <v>532</v>
      </c>
      <c r="H554" s="15">
        <f>0</f>
        <v>0</v>
      </c>
    </row>
    <row r="555" spans="1:8" ht="51" x14ac:dyDescent="0.25">
      <c r="A555" s="8"/>
      <c r="B555" s="6"/>
      <c r="C555" s="20" t="s">
        <v>81</v>
      </c>
      <c r="D555" s="20" t="s">
        <v>743</v>
      </c>
      <c r="E555" s="15">
        <f>0</f>
        <v>0</v>
      </c>
      <c r="F555" s="15">
        <f>0</f>
        <v>0</v>
      </c>
      <c r="G555" s="15" t="s">
        <v>532</v>
      </c>
      <c r="H555" s="15">
        <f>0</f>
        <v>0</v>
      </c>
    </row>
    <row r="556" spans="1:8" ht="51" x14ac:dyDescent="0.25">
      <c r="A556" s="8"/>
      <c r="B556" s="6"/>
      <c r="C556" s="20" t="s">
        <v>163</v>
      </c>
      <c r="D556" s="20" t="s">
        <v>744</v>
      </c>
      <c r="E556" s="15">
        <f>0</f>
        <v>0</v>
      </c>
      <c r="F556" s="15">
        <f>0</f>
        <v>0</v>
      </c>
      <c r="G556" s="15" t="s">
        <v>532</v>
      </c>
      <c r="H556" s="15">
        <f>0</f>
        <v>0</v>
      </c>
    </row>
    <row r="557" spans="1:8" ht="63.75" x14ac:dyDescent="0.25">
      <c r="A557" s="8"/>
      <c r="B557" s="6"/>
      <c r="C557" s="20" t="s">
        <v>165</v>
      </c>
      <c r="D557" s="20" t="s">
        <v>745</v>
      </c>
      <c r="E557" s="15">
        <f>5805.2</f>
        <v>5805.2</v>
      </c>
      <c r="F557" s="15">
        <f>5805.19</f>
        <v>5805.19</v>
      </c>
      <c r="G557" s="15" t="s">
        <v>446</v>
      </c>
      <c r="H557" s="15">
        <f>5805.19</f>
        <v>5805.19</v>
      </c>
    </row>
    <row r="558" spans="1:8" ht="51" x14ac:dyDescent="0.25">
      <c r="A558" s="8"/>
      <c r="B558" s="6"/>
      <c r="C558" s="20" t="s">
        <v>167</v>
      </c>
      <c r="D558" s="20" t="s">
        <v>746</v>
      </c>
      <c r="E558" s="15">
        <f>0</f>
        <v>0</v>
      </c>
      <c r="F558" s="15">
        <f>0</f>
        <v>0</v>
      </c>
      <c r="G558" s="15" t="s">
        <v>532</v>
      </c>
      <c r="H558" s="15">
        <f>0</f>
        <v>0</v>
      </c>
    </row>
    <row r="559" spans="1:8" ht="38.25" x14ac:dyDescent="0.25">
      <c r="A559" s="8"/>
      <c r="B559" s="6"/>
      <c r="C559" s="20" t="s">
        <v>747</v>
      </c>
      <c r="D559" s="20" t="s">
        <v>748</v>
      </c>
      <c r="E559" s="15">
        <f>84.2</f>
        <v>84.2</v>
      </c>
      <c r="F559" s="15">
        <f>74.2</f>
        <v>74.2</v>
      </c>
      <c r="G559" s="15" t="s">
        <v>749</v>
      </c>
      <c r="H559" s="15">
        <f>74.2</f>
        <v>74.2</v>
      </c>
    </row>
    <row r="560" spans="1:8" ht="51" x14ac:dyDescent="0.25">
      <c r="A560" s="8"/>
      <c r="B560" s="6"/>
      <c r="C560" s="19" t="s">
        <v>82</v>
      </c>
      <c r="D560" s="19" t="s">
        <v>750</v>
      </c>
      <c r="E560" s="14">
        <f>E561+E567+E570+E573+E574</f>
        <v>0</v>
      </c>
      <c r="F560" s="14">
        <f>F561+F567+F570+F573+F574</f>
        <v>0</v>
      </c>
      <c r="G560" s="14" t="s">
        <v>18</v>
      </c>
      <c r="H560" s="14">
        <f>H561+H567+H570+H573+H574</f>
        <v>0</v>
      </c>
    </row>
    <row r="561" spans="1:8" ht="51" x14ac:dyDescent="0.25">
      <c r="A561" s="8"/>
      <c r="B561" s="6"/>
      <c r="C561" s="20" t="s">
        <v>12</v>
      </c>
      <c r="D561" s="20" t="s">
        <v>751</v>
      </c>
      <c r="E561" s="15">
        <f>E562+E563+E564+E565+E566</f>
        <v>0</v>
      </c>
      <c r="F561" s="15">
        <f>F562+F563+F564+F565+F566</f>
        <v>0</v>
      </c>
      <c r="G561" s="15" t="s">
        <v>18</v>
      </c>
      <c r="H561" s="15">
        <f>H562+H563+H564+H565+H566</f>
        <v>0</v>
      </c>
    </row>
    <row r="562" spans="1:8" ht="63.75" x14ac:dyDescent="0.25">
      <c r="A562" s="8"/>
      <c r="B562" s="6"/>
      <c r="C562" s="21" t="s">
        <v>26</v>
      </c>
      <c r="D562" s="20" t="s">
        <v>752</v>
      </c>
      <c r="E562" s="15">
        <f>0</f>
        <v>0</v>
      </c>
      <c r="F562" s="15">
        <f>0</f>
        <v>0</v>
      </c>
      <c r="G562" s="15" t="s">
        <v>18</v>
      </c>
      <c r="H562" s="15">
        <f>0</f>
        <v>0</v>
      </c>
    </row>
    <row r="563" spans="1:8" ht="63.75" x14ac:dyDescent="0.25">
      <c r="A563" s="8"/>
      <c r="B563" s="6"/>
      <c r="C563" s="21" t="s">
        <v>28</v>
      </c>
      <c r="D563" s="20" t="s">
        <v>753</v>
      </c>
      <c r="E563" s="15">
        <f>0</f>
        <v>0</v>
      </c>
      <c r="F563" s="15">
        <f>0</f>
        <v>0</v>
      </c>
      <c r="G563" s="15" t="s">
        <v>18</v>
      </c>
      <c r="H563" s="15">
        <f>0</f>
        <v>0</v>
      </c>
    </row>
    <row r="564" spans="1:8" ht="51" x14ac:dyDescent="0.25">
      <c r="A564" s="8"/>
      <c r="B564" s="6"/>
      <c r="C564" s="21" t="s">
        <v>30</v>
      </c>
      <c r="D564" s="20" t="s">
        <v>754</v>
      </c>
      <c r="E564" s="15">
        <f>0</f>
        <v>0</v>
      </c>
      <c r="F564" s="15">
        <f>0</f>
        <v>0</v>
      </c>
      <c r="G564" s="15" t="s">
        <v>18</v>
      </c>
      <c r="H564" s="15">
        <f>0</f>
        <v>0</v>
      </c>
    </row>
    <row r="565" spans="1:8" ht="114.75" x14ac:dyDescent="0.25">
      <c r="A565" s="8"/>
      <c r="B565" s="6"/>
      <c r="C565" s="21" t="s">
        <v>87</v>
      </c>
      <c r="D565" s="20" t="s">
        <v>755</v>
      </c>
      <c r="E565" s="15">
        <f>0</f>
        <v>0</v>
      </c>
      <c r="F565" s="15">
        <f>0</f>
        <v>0</v>
      </c>
      <c r="G565" s="15" t="s">
        <v>18</v>
      </c>
      <c r="H565" s="15">
        <f>0</f>
        <v>0</v>
      </c>
    </row>
    <row r="566" spans="1:8" ht="76.5" x14ac:dyDescent="0.25">
      <c r="A566" s="8"/>
      <c r="B566" s="6"/>
      <c r="C566" s="21" t="s">
        <v>89</v>
      </c>
      <c r="D566" s="20" t="s">
        <v>756</v>
      </c>
      <c r="E566" s="15">
        <f>0</f>
        <v>0</v>
      </c>
      <c r="F566" s="15">
        <f>0</f>
        <v>0</v>
      </c>
      <c r="G566" s="15" t="s">
        <v>18</v>
      </c>
      <c r="H566" s="15">
        <f>0</f>
        <v>0</v>
      </c>
    </row>
    <row r="567" spans="1:8" ht="89.25" x14ac:dyDescent="0.25">
      <c r="A567" s="8"/>
      <c r="B567" s="6"/>
      <c r="C567" s="20" t="s">
        <v>14</v>
      </c>
      <c r="D567" s="20" t="s">
        <v>757</v>
      </c>
      <c r="E567" s="15">
        <f>E568+E569</f>
        <v>0</v>
      </c>
      <c r="F567" s="15">
        <f>F568+F569</f>
        <v>0</v>
      </c>
      <c r="G567" s="15" t="s">
        <v>18</v>
      </c>
      <c r="H567" s="15">
        <f>H568+H569</f>
        <v>0</v>
      </c>
    </row>
    <row r="568" spans="1:8" ht="89.25" x14ac:dyDescent="0.25">
      <c r="A568" s="8"/>
      <c r="B568" s="6"/>
      <c r="C568" s="21" t="s">
        <v>33</v>
      </c>
      <c r="D568" s="20" t="s">
        <v>758</v>
      </c>
      <c r="E568" s="15">
        <f>0</f>
        <v>0</v>
      </c>
      <c r="F568" s="15">
        <f>0</f>
        <v>0</v>
      </c>
      <c r="G568" s="15" t="s">
        <v>18</v>
      </c>
      <c r="H568" s="15">
        <f>0</f>
        <v>0</v>
      </c>
    </row>
    <row r="569" spans="1:8" ht="51" x14ac:dyDescent="0.25">
      <c r="A569" s="8"/>
      <c r="B569" s="6"/>
      <c r="C569" s="21" t="s">
        <v>35</v>
      </c>
      <c r="D569" s="20" t="s">
        <v>759</v>
      </c>
      <c r="E569" s="15">
        <f>0</f>
        <v>0</v>
      </c>
      <c r="F569" s="15">
        <f>0</f>
        <v>0</v>
      </c>
      <c r="G569" s="15" t="s">
        <v>18</v>
      </c>
      <c r="H569" s="15">
        <f>0</f>
        <v>0</v>
      </c>
    </row>
    <row r="570" spans="1:8" ht="51" x14ac:dyDescent="0.25">
      <c r="A570" s="8"/>
      <c r="B570" s="6"/>
      <c r="C570" s="20" t="s">
        <v>16</v>
      </c>
      <c r="D570" s="20" t="s">
        <v>760</v>
      </c>
      <c r="E570" s="15">
        <f>E571+E572</f>
        <v>0</v>
      </c>
      <c r="F570" s="15">
        <f>F571+F572</f>
        <v>0</v>
      </c>
      <c r="G570" s="15" t="s">
        <v>18</v>
      </c>
      <c r="H570" s="15">
        <f>H571+H572</f>
        <v>0</v>
      </c>
    </row>
    <row r="571" spans="1:8" ht="51" x14ac:dyDescent="0.25">
      <c r="A571" s="8"/>
      <c r="B571" s="6"/>
      <c r="C571" s="21" t="s">
        <v>38</v>
      </c>
      <c r="D571" s="20" t="s">
        <v>761</v>
      </c>
      <c r="E571" s="15">
        <f>0</f>
        <v>0</v>
      </c>
      <c r="F571" s="15">
        <f>0</f>
        <v>0</v>
      </c>
      <c r="G571" s="15" t="s">
        <v>18</v>
      </c>
      <c r="H571" s="15">
        <f>0</f>
        <v>0</v>
      </c>
    </row>
    <row r="572" spans="1:8" ht="51" x14ac:dyDescent="0.25">
      <c r="A572" s="8"/>
      <c r="B572" s="6"/>
      <c r="C572" s="21" t="s">
        <v>40</v>
      </c>
      <c r="D572" s="20" t="s">
        <v>762</v>
      </c>
      <c r="E572" s="15">
        <f>0</f>
        <v>0</v>
      </c>
      <c r="F572" s="15">
        <f>0</f>
        <v>0</v>
      </c>
      <c r="G572" s="15" t="s">
        <v>18</v>
      </c>
      <c r="H572" s="15">
        <f>0</f>
        <v>0</v>
      </c>
    </row>
    <row r="573" spans="1:8" ht="51" x14ac:dyDescent="0.25">
      <c r="A573" s="8"/>
      <c r="B573" s="6"/>
      <c r="C573" s="20" t="s">
        <v>19</v>
      </c>
      <c r="D573" s="20" t="s">
        <v>763</v>
      </c>
      <c r="E573" s="15">
        <f>0</f>
        <v>0</v>
      </c>
      <c r="F573" s="15">
        <f>0</f>
        <v>0</v>
      </c>
      <c r="G573" s="15" t="s">
        <v>18</v>
      </c>
      <c r="H573" s="15">
        <f>0</f>
        <v>0</v>
      </c>
    </row>
    <row r="574" spans="1:8" ht="51" x14ac:dyDescent="0.25">
      <c r="A574" s="8"/>
      <c r="B574" s="6"/>
      <c r="C574" s="20" t="s">
        <v>21</v>
      </c>
      <c r="D574" s="20" t="s">
        <v>764</v>
      </c>
      <c r="E574" s="15">
        <f>0</f>
        <v>0</v>
      </c>
      <c r="F574" s="15">
        <f>0</f>
        <v>0</v>
      </c>
      <c r="G574" s="15" t="s">
        <v>18</v>
      </c>
      <c r="H574" s="15">
        <f>0</f>
        <v>0</v>
      </c>
    </row>
    <row r="575" spans="1:8" ht="38.25" x14ac:dyDescent="0.25">
      <c r="A575" s="8"/>
      <c r="B575" s="6"/>
      <c r="C575" s="19" t="s">
        <v>207</v>
      </c>
      <c r="D575" s="19" t="s">
        <v>765</v>
      </c>
      <c r="E575" s="14">
        <f>E576+E577+E578</f>
        <v>233087.29000000004</v>
      </c>
      <c r="F575" s="14">
        <f>F576+F577+F578</f>
        <v>230593.49</v>
      </c>
      <c r="G575" s="14" t="s">
        <v>766</v>
      </c>
      <c r="H575" s="14">
        <f>H576+H577+H578</f>
        <v>230593.49</v>
      </c>
    </row>
    <row r="576" spans="1:8" ht="51" x14ac:dyDescent="0.25">
      <c r="A576" s="8"/>
      <c r="B576" s="6"/>
      <c r="C576" s="20" t="s">
        <v>12</v>
      </c>
      <c r="D576" s="20" t="s">
        <v>767</v>
      </c>
      <c r="E576" s="15">
        <f>941+190080.79</f>
        <v>191021.79</v>
      </c>
      <c r="F576" s="15">
        <f>857.72+188429.79</f>
        <v>189287.51</v>
      </c>
      <c r="G576" s="15" t="s">
        <v>768</v>
      </c>
      <c r="H576" s="15">
        <f>857.72+188429.79</f>
        <v>189287.51</v>
      </c>
    </row>
    <row r="577" spans="1:8" ht="38.25" x14ac:dyDescent="0.25">
      <c r="A577" s="8"/>
      <c r="B577" s="6"/>
      <c r="C577" s="20" t="s">
        <v>14</v>
      </c>
      <c r="D577" s="20" t="s">
        <v>769</v>
      </c>
      <c r="E577" s="15">
        <f>22763.61</f>
        <v>22763.61</v>
      </c>
      <c r="F577" s="15">
        <f>22583.96</f>
        <v>22583.96</v>
      </c>
      <c r="G577" s="15" t="s">
        <v>643</v>
      </c>
      <c r="H577" s="15">
        <f>22583.96</f>
        <v>22583.96</v>
      </c>
    </row>
    <row r="578" spans="1:8" ht="51" x14ac:dyDescent="0.25">
      <c r="A578" s="8"/>
      <c r="B578" s="6"/>
      <c r="C578" s="20" t="s">
        <v>16</v>
      </c>
      <c r="D578" s="20" t="s">
        <v>770</v>
      </c>
      <c r="E578" s="15">
        <f>17280.89+2021</f>
        <v>19301.89</v>
      </c>
      <c r="F578" s="15">
        <f>16701.02+2021</f>
        <v>18722.02</v>
      </c>
      <c r="G578" s="15" t="s">
        <v>771</v>
      </c>
      <c r="H578" s="15">
        <f>16701.02+2021</f>
        <v>18722.02</v>
      </c>
    </row>
    <row r="579" spans="1:8" ht="38.25" x14ac:dyDescent="0.25">
      <c r="A579" s="8"/>
      <c r="B579" s="6"/>
      <c r="C579" s="19" t="s">
        <v>213</v>
      </c>
      <c r="D579" s="19" t="s">
        <v>772</v>
      </c>
      <c r="E579" s="14">
        <f>E580+E581+E582+E583+E584+E585+E598+E609+E611+E613</f>
        <v>100</v>
      </c>
      <c r="F579" s="14">
        <f>F580+F581+F582+F583+F584+F585+F598+F609+F611+F613</f>
        <v>94</v>
      </c>
      <c r="G579" s="14" t="s">
        <v>773</v>
      </c>
      <c r="H579" s="14">
        <f>H580+H581+H582+H583+H584+H585+H598+H609+H611+H613</f>
        <v>94</v>
      </c>
    </row>
    <row r="580" spans="1:8" ht="51" x14ac:dyDescent="0.25">
      <c r="A580" s="8"/>
      <c r="B580" s="6"/>
      <c r="C580" s="20" t="s">
        <v>12</v>
      </c>
      <c r="D580" s="20" t="s">
        <v>774</v>
      </c>
      <c r="E580" s="15">
        <f>0</f>
        <v>0</v>
      </c>
      <c r="F580" s="15">
        <f>0</f>
        <v>0</v>
      </c>
      <c r="G580" s="15" t="s">
        <v>18</v>
      </c>
      <c r="H580" s="15">
        <f>0</f>
        <v>0</v>
      </c>
    </row>
    <row r="581" spans="1:8" ht="51" x14ac:dyDescent="0.25">
      <c r="A581" s="8"/>
      <c r="B581" s="6"/>
      <c r="C581" s="20" t="s">
        <v>14</v>
      </c>
      <c r="D581" s="20" t="s">
        <v>775</v>
      </c>
      <c r="E581" s="15">
        <f>0</f>
        <v>0</v>
      </c>
      <c r="F581" s="15">
        <f>0</f>
        <v>0</v>
      </c>
      <c r="G581" s="15" t="s">
        <v>18</v>
      </c>
      <c r="H581" s="15">
        <f>0</f>
        <v>0</v>
      </c>
    </row>
    <row r="582" spans="1:8" ht="51" x14ac:dyDescent="0.25">
      <c r="A582" s="8"/>
      <c r="B582" s="6"/>
      <c r="C582" s="20" t="s">
        <v>16</v>
      </c>
      <c r="D582" s="20" t="s">
        <v>776</v>
      </c>
      <c r="E582" s="15">
        <f>0</f>
        <v>0</v>
      </c>
      <c r="F582" s="15">
        <f>0</f>
        <v>0</v>
      </c>
      <c r="G582" s="15" t="s">
        <v>18</v>
      </c>
      <c r="H582" s="15">
        <f>0</f>
        <v>0</v>
      </c>
    </row>
    <row r="583" spans="1:8" ht="63.75" x14ac:dyDescent="0.25">
      <c r="A583" s="8"/>
      <c r="B583" s="6"/>
      <c r="C583" s="20" t="s">
        <v>19</v>
      </c>
      <c r="D583" s="20" t="s">
        <v>777</v>
      </c>
      <c r="E583" s="15">
        <f>0</f>
        <v>0</v>
      </c>
      <c r="F583" s="15">
        <f>0</f>
        <v>0</v>
      </c>
      <c r="G583" s="15" t="s">
        <v>18</v>
      </c>
      <c r="H583" s="15">
        <f>0</f>
        <v>0</v>
      </c>
    </row>
    <row r="584" spans="1:8" ht="51" x14ac:dyDescent="0.25">
      <c r="A584" s="8"/>
      <c r="B584" s="6"/>
      <c r="C584" s="20" t="s">
        <v>21</v>
      </c>
      <c r="D584" s="20" t="s">
        <v>778</v>
      </c>
      <c r="E584" s="15">
        <f>0</f>
        <v>0</v>
      </c>
      <c r="F584" s="15">
        <f>0</f>
        <v>0</v>
      </c>
      <c r="G584" s="15" t="s">
        <v>18</v>
      </c>
      <c r="H584" s="15">
        <f>0</f>
        <v>0</v>
      </c>
    </row>
    <row r="585" spans="1:8" ht="38.25" x14ac:dyDescent="0.25">
      <c r="A585" s="8"/>
      <c r="B585" s="6"/>
      <c r="C585" s="20" t="s">
        <v>70</v>
      </c>
      <c r="D585" s="20" t="s">
        <v>779</v>
      </c>
      <c r="E585" s="15">
        <f>E586+E590+E594</f>
        <v>100</v>
      </c>
      <c r="F585" s="15">
        <f>F586+F590+F594</f>
        <v>94</v>
      </c>
      <c r="G585" s="15" t="s">
        <v>780</v>
      </c>
      <c r="H585" s="15">
        <f>H586+H590+H594</f>
        <v>94</v>
      </c>
    </row>
    <row r="586" spans="1:8" ht="38.25" x14ac:dyDescent="0.25">
      <c r="A586" s="8"/>
      <c r="B586" s="6"/>
      <c r="C586" s="21" t="s">
        <v>380</v>
      </c>
      <c r="D586" s="20" t="s">
        <v>781</v>
      </c>
      <c r="E586" s="15">
        <f>E587+E588+E589</f>
        <v>100</v>
      </c>
      <c r="F586" s="15">
        <f>F587+F588+F589</f>
        <v>94</v>
      </c>
      <c r="G586" s="15" t="s">
        <v>780</v>
      </c>
      <c r="H586" s="15">
        <f>H587+H588+H589</f>
        <v>94</v>
      </c>
    </row>
    <row r="587" spans="1:8" ht="38.25" x14ac:dyDescent="0.25">
      <c r="A587" s="8"/>
      <c r="B587" s="6"/>
      <c r="C587" s="21" t="s">
        <v>782</v>
      </c>
      <c r="D587" s="20" t="s">
        <v>783</v>
      </c>
      <c r="E587" s="15">
        <f>50</f>
        <v>50</v>
      </c>
      <c r="F587" s="15">
        <f>47</f>
        <v>47</v>
      </c>
      <c r="G587" s="15" t="s">
        <v>780</v>
      </c>
      <c r="H587" s="15">
        <f>47</f>
        <v>47</v>
      </c>
    </row>
    <row r="588" spans="1:8" ht="38.25" x14ac:dyDescent="0.25">
      <c r="A588" s="8"/>
      <c r="B588" s="6"/>
      <c r="C588" s="21" t="s">
        <v>784</v>
      </c>
      <c r="D588" s="20" t="s">
        <v>785</v>
      </c>
      <c r="E588" s="15">
        <f>50</f>
        <v>50</v>
      </c>
      <c r="F588" s="15">
        <f>47</f>
        <v>47</v>
      </c>
      <c r="G588" s="15" t="s">
        <v>780</v>
      </c>
      <c r="H588" s="15">
        <f>47</f>
        <v>47</v>
      </c>
    </row>
    <row r="589" spans="1:8" ht="51" x14ac:dyDescent="0.25">
      <c r="A589" s="8"/>
      <c r="B589" s="6"/>
      <c r="C589" s="21" t="s">
        <v>786</v>
      </c>
      <c r="D589" s="20" t="s">
        <v>787</v>
      </c>
      <c r="E589" s="15">
        <f>0</f>
        <v>0</v>
      </c>
      <c r="F589" s="15">
        <f>0</f>
        <v>0</v>
      </c>
      <c r="G589" s="15" t="s">
        <v>18</v>
      </c>
      <c r="H589" s="15">
        <f>0</f>
        <v>0</v>
      </c>
    </row>
    <row r="590" spans="1:8" ht="51" x14ac:dyDescent="0.25">
      <c r="A590" s="8"/>
      <c r="B590" s="6"/>
      <c r="C590" s="21" t="s">
        <v>382</v>
      </c>
      <c r="D590" s="20" t="s">
        <v>788</v>
      </c>
      <c r="E590" s="15">
        <f>E591+E592+E593</f>
        <v>0</v>
      </c>
      <c r="F590" s="15">
        <f>F591+F592+F593</f>
        <v>0</v>
      </c>
      <c r="G590" s="15" t="s">
        <v>18</v>
      </c>
      <c r="H590" s="15">
        <f>H591+H592+H593</f>
        <v>0</v>
      </c>
    </row>
    <row r="591" spans="1:8" ht="51" x14ac:dyDescent="0.25">
      <c r="A591" s="8"/>
      <c r="B591" s="6"/>
      <c r="C591" s="21" t="s">
        <v>789</v>
      </c>
      <c r="D591" s="20" t="s">
        <v>790</v>
      </c>
      <c r="E591" s="15">
        <f>0</f>
        <v>0</v>
      </c>
      <c r="F591" s="15">
        <f>0</f>
        <v>0</v>
      </c>
      <c r="G591" s="15" t="s">
        <v>18</v>
      </c>
      <c r="H591" s="15">
        <f>0</f>
        <v>0</v>
      </c>
    </row>
    <row r="592" spans="1:8" ht="51" x14ac:dyDescent="0.25">
      <c r="A592" s="8"/>
      <c r="B592" s="6"/>
      <c r="C592" s="21" t="s">
        <v>791</v>
      </c>
      <c r="D592" s="20" t="s">
        <v>792</v>
      </c>
      <c r="E592" s="15">
        <f>0</f>
        <v>0</v>
      </c>
      <c r="F592" s="15">
        <f>0</f>
        <v>0</v>
      </c>
      <c r="G592" s="15" t="s">
        <v>18</v>
      </c>
      <c r="H592" s="15">
        <f>0</f>
        <v>0</v>
      </c>
    </row>
    <row r="593" spans="1:8" ht="51" x14ac:dyDescent="0.25">
      <c r="A593" s="8"/>
      <c r="B593" s="6"/>
      <c r="C593" s="21" t="s">
        <v>793</v>
      </c>
      <c r="D593" s="20" t="s">
        <v>787</v>
      </c>
      <c r="E593" s="15">
        <f>0</f>
        <v>0</v>
      </c>
      <c r="F593" s="15">
        <f>0</f>
        <v>0</v>
      </c>
      <c r="G593" s="15" t="s">
        <v>18</v>
      </c>
      <c r="H593" s="15">
        <f>0</f>
        <v>0</v>
      </c>
    </row>
    <row r="594" spans="1:8" ht="51" x14ac:dyDescent="0.25">
      <c r="A594" s="8"/>
      <c r="B594" s="6"/>
      <c r="C594" s="21" t="s">
        <v>521</v>
      </c>
      <c r="D594" s="20" t="s">
        <v>794</v>
      </c>
      <c r="E594" s="15">
        <f>E595+E596+E597</f>
        <v>0</v>
      </c>
      <c r="F594" s="15">
        <f>F595+F597+F596</f>
        <v>0</v>
      </c>
      <c r="G594" s="15" t="s">
        <v>18</v>
      </c>
      <c r="H594" s="15">
        <f>H595+H597+H596</f>
        <v>0</v>
      </c>
    </row>
    <row r="595" spans="1:8" ht="51" x14ac:dyDescent="0.25">
      <c r="A595" s="8"/>
      <c r="B595" s="6"/>
      <c r="C595" s="21" t="s">
        <v>795</v>
      </c>
      <c r="D595" s="20" t="s">
        <v>790</v>
      </c>
      <c r="E595" s="15">
        <f>0</f>
        <v>0</v>
      </c>
      <c r="F595" s="15">
        <f>0</f>
        <v>0</v>
      </c>
      <c r="G595" s="15" t="s">
        <v>18</v>
      </c>
      <c r="H595" s="15">
        <f>0</f>
        <v>0</v>
      </c>
    </row>
    <row r="596" spans="1:8" ht="51" x14ac:dyDescent="0.25">
      <c r="A596" s="8"/>
      <c r="B596" s="6"/>
      <c r="C596" s="21" t="s">
        <v>796</v>
      </c>
      <c r="D596" s="20" t="s">
        <v>785</v>
      </c>
      <c r="E596" s="15">
        <f>0</f>
        <v>0</v>
      </c>
      <c r="F596" s="15">
        <f>0</f>
        <v>0</v>
      </c>
      <c r="G596" s="15" t="s">
        <v>18</v>
      </c>
      <c r="H596" s="15">
        <f>0</f>
        <v>0</v>
      </c>
    </row>
    <row r="597" spans="1:8" ht="51" x14ac:dyDescent="0.25">
      <c r="A597" s="8"/>
      <c r="B597" s="6"/>
      <c r="C597" s="21" t="s">
        <v>797</v>
      </c>
      <c r="D597" s="20" t="s">
        <v>787</v>
      </c>
      <c r="E597" s="15">
        <f>0</f>
        <v>0</v>
      </c>
      <c r="F597" s="15">
        <f>0</f>
        <v>0</v>
      </c>
      <c r="G597" s="15" t="s">
        <v>18</v>
      </c>
      <c r="H597" s="15">
        <f>0</f>
        <v>0</v>
      </c>
    </row>
    <row r="598" spans="1:8" ht="51" x14ac:dyDescent="0.25">
      <c r="A598" s="8"/>
      <c r="B598" s="6"/>
      <c r="C598" s="20" t="s">
        <v>72</v>
      </c>
      <c r="D598" s="20" t="s">
        <v>798</v>
      </c>
      <c r="E598" s="15">
        <f>E599+E604</f>
        <v>0</v>
      </c>
      <c r="F598" s="15">
        <f>F599+F604</f>
        <v>0</v>
      </c>
      <c r="G598" s="15" t="s">
        <v>18</v>
      </c>
      <c r="H598" s="15">
        <f>H599+H604</f>
        <v>0</v>
      </c>
    </row>
    <row r="599" spans="1:8" ht="51" x14ac:dyDescent="0.25">
      <c r="A599" s="8"/>
      <c r="B599" s="6"/>
      <c r="C599" s="21" t="s">
        <v>385</v>
      </c>
      <c r="D599" s="20" t="s">
        <v>799</v>
      </c>
      <c r="E599" s="15">
        <f>E600+E601+E602+E603</f>
        <v>0</v>
      </c>
      <c r="F599" s="15">
        <f>F600+F601+F602+F603</f>
        <v>0</v>
      </c>
      <c r="G599" s="15" t="s">
        <v>18</v>
      </c>
      <c r="H599" s="15">
        <f>H600+H601+H602+H603</f>
        <v>0</v>
      </c>
    </row>
    <row r="600" spans="1:8" ht="63.75" x14ac:dyDescent="0.25">
      <c r="A600" s="8"/>
      <c r="B600" s="6"/>
      <c r="C600" s="21" t="s">
        <v>800</v>
      </c>
      <c r="D600" s="20" t="s">
        <v>801</v>
      </c>
      <c r="E600" s="15">
        <f>0</f>
        <v>0</v>
      </c>
      <c r="F600" s="15">
        <f>0</f>
        <v>0</v>
      </c>
      <c r="G600" s="15" t="s">
        <v>18</v>
      </c>
      <c r="H600" s="15">
        <f>0</f>
        <v>0</v>
      </c>
    </row>
    <row r="601" spans="1:8" ht="63.75" x14ac:dyDescent="0.25">
      <c r="A601" s="8"/>
      <c r="B601" s="6"/>
      <c r="C601" s="21" t="s">
        <v>802</v>
      </c>
      <c r="D601" s="20" t="s">
        <v>803</v>
      </c>
      <c r="E601" s="15">
        <f>0</f>
        <v>0</v>
      </c>
      <c r="F601" s="15">
        <f>0</f>
        <v>0</v>
      </c>
      <c r="G601" s="15" t="s">
        <v>18</v>
      </c>
      <c r="H601" s="15">
        <f>0</f>
        <v>0</v>
      </c>
    </row>
    <row r="602" spans="1:8" ht="51" x14ac:dyDescent="0.25">
      <c r="A602" s="8"/>
      <c r="B602" s="6"/>
      <c r="C602" s="21" t="s">
        <v>804</v>
      </c>
      <c r="D602" s="20" t="s">
        <v>805</v>
      </c>
      <c r="E602" s="15">
        <f>0</f>
        <v>0</v>
      </c>
      <c r="F602" s="15">
        <f>0</f>
        <v>0</v>
      </c>
      <c r="G602" s="15" t="s">
        <v>18</v>
      </c>
      <c r="H602" s="15">
        <f>0</f>
        <v>0</v>
      </c>
    </row>
    <row r="603" spans="1:8" ht="51" x14ac:dyDescent="0.25">
      <c r="A603" s="8"/>
      <c r="B603" s="6"/>
      <c r="C603" s="21" t="s">
        <v>806</v>
      </c>
      <c r="D603" s="20" t="s">
        <v>807</v>
      </c>
      <c r="E603" s="15">
        <f>0</f>
        <v>0</v>
      </c>
      <c r="F603" s="15">
        <f>0</f>
        <v>0</v>
      </c>
      <c r="G603" s="15" t="s">
        <v>18</v>
      </c>
      <c r="H603" s="15">
        <f>0</f>
        <v>0</v>
      </c>
    </row>
    <row r="604" spans="1:8" ht="51" x14ac:dyDescent="0.25">
      <c r="A604" s="8"/>
      <c r="B604" s="6"/>
      <c r="C604" s="21" t="s">
        <v>808</v>
      </c>
      <c r="D604" s="20" t="s">
        <v>809</v>
      </c>
      <c r="E604" s="15">
        <f>E605+E606+E607+E608</f>
        <v>0</v>
      </c>
      <c r="F604" s="15">
        <f>F605+F606+F607+F608</f>
        <v>0</v>
      </c>
      <c r="G604" s="15" t="s">
        <v>18</v>
      </c>
      <c r="H604" s="15">
        <f>H605+H606+H607+H608</f>
        <v>0</v>
      </c>
    </row>
    <row r="605" spans="1:8" ht="63.75" x14ac:dyDescent="0.25">
      <c r="A605" s="8"/>
      <c r="B605" s="6"/>
      <c r="C605" s="21" t="s">
        <v>810</v>
      </c>
      <c r="D605" s="20" t="s">
        <v>801</v>
      </c>
      <c r="E605" s="15">
        <f>0</f>
        <v>0</v>
      </c>
      <c r="F605" s="15">
        <f>0</f>
        <v>0</v>
      </c>
      <c r="G605" s="15" t="s">
        <v>18</v>
      </c>
      <c r="H605" s="15">
        <f>0</f>
        <v>0</v>
      </c>
    </row>
    <row r="606" spans="1:8" ht="63.75" x14ac:dyDescent="0.25">
      <c r="A606" s="8"/>
      <c r="B606" s="6"/>
      <c r="C606" s="21" t="s">
        <v>811</v>
      </c>
      <c r="D606" s="20" t="s">
        <v>803</v>
      </c>
      <c r="E606" s="15">
        <f>0</f>
        <v>0</v>
      </c>
      <c r="F606" s="15">
        <f>0</f>
        <v>0</v>
      </c>
      <c r="G606" s="15" t="s">
        <v>18</v>
      </c>
      <c r="H606" s="15">
        <f>0</f>
        <v>0</v>
      </c>
    </row>
    <row r="607" spans="1:8" ht="51" x14ac:dyDescent="0.25">
      <c r="A607" s="8"/>
      <c r="B607" s="6"/>
      <c r="C607" s="21" t="s">
        <v>812</v>
      </c>
      <c r="D607" s="20" t="s">
        <v>805</v>
      </c>
      <c r="E607" s="15">
        <f>0</f>
        <v>0</v>
      </c>
      <c r="F607" s="15">
        <f>0</f>
        <v>0</v>
      </c>
      <c r="G607" s="15" t="s">
        <v>18</v>
      </c>
      <c r="H607" s="15">
        <f>0</f>
        <v>0</v>
      </c>
    </row>
    <row r="608" spans="1:8" ht="51" x14ac:dyDescent="0.25">
      <c r="A608" s="8"/>
      <c r="B608" s="6"/>
      <c r="C608" s="21" t="s">
        <v>813</v>
      </c>
      <c r="D608" s="20" t="s">
        <v>807</v>
      </c>
      <c r="E608" s="15">
        <f>0</f>
        <v>0</v>
      </c>
      <c r="F608" s="15">
        <f>0</f>
        <v>0</v>
      </c>
      <c r="G608" s="15" t="s">
        <v>18</v>
      </c>
      <c r="H608" s="15">
        <f>0</f>
        <v>0</v>
      </c>
    </row>
    <row r="609" spans="1:8" ht="51" x14ac:dyDescent="0.25">
      <c r="A609" s="8"/>
      <c r="B609" s="6"/>
      <c r="C609" s="20" t="s">
        <v>74</v>
      </c>
      <c r="D609" s="20" t="s">
        <v>814</v>
      </c>
      <c r="E609" s="15">
        <f>E610</f>
        <v>0</v>
      </c>
      <c r="F609" s="15">
        <f>F610</f>
        <v>0</v>
      </c>
      <c r="G609" s="15" t="s">
        <v>18</v>
      </c>
      <c r="H609" s="15">
        <f>H610</f>
        <v>0</v>
      </c>
    </row>
    <row r="610" spans="1:8" ht="51" x14ac:dyDescent="0.25">
      <c r="A610" s="8"/>
      <c r="B610" s="6"/>
      <c r="C610" s="21" t="s">
        <v>388</v>
      </c>
      <c r="D610" s="20" t="s">
        <v>815</v>
      </c>
      <c r="E610" s="15">
        <f>0</f>
        <v>0</v>
      </c>
      <c r="F610" s="15">
        <f>0</f>
        <v>0</v>
      </c>
      <c r="G610" s="15" t="s">
        <v>18</v>
      </c>
      <c r="H610" s="15">
        <f>0</f>
        <v>0</v>
      </c>
    </row>
    <row r="611" spans="1:8" ht="51" x14ac:dyDescent="0.25">
      <c r="A611" s="8"/>
      <c r="B611" s="6"/>
      <c r="C611" s="20" t="s">
        <v>77</v>
      </c>
      <c r="D611" s="20" t="s">
        <v>816</v>
      </c>
      <c r="E611" s="15">
        <f>E612</f>
        <v>0</v>
      </c>
      <c r="F611" s="15">
        <f>F612</f>
        <v>0</v>
      </c>
      <c r="G611" s="15" t="s">
        <v>18</v>
      </c>
      <c r="H611" s="15">
        <f>H612</f>
        <v>0</v>
      </c>
    </row>
    <row r="612" spans="1:8" ht="51" x14ac:dyDescent="0.25">
      <c r="A612" s="8"/>
      <c r="B612" s="6"/>
      <c r="C612" s="21" t="s">
        <v>817</v>
      </c>
      <c r="D612" s="20" t="s">
        <v>818</v>
      </c>
      <c r="E612" s="15">
        <f>0</f>
        <v>0</v>
      </c>
      <c r="F612" s="15">
        <f>0</f>
        <v>0</v>
      </c>
      <c r="G612" s="15" t="s">
        <v>18</v>
      </c>
      <c r="H612" s="15">
        <f>0</f>
        <v>0</v>
      </c>
    </row>
    <row r="613" spans="1:8" ht="51" x14ac:dyDescent="0.25">
      <c r="A613" s="8"/>
      <c r="B613" s="6"/>
      <c r="C613" s="20" t="s">
        <v>79</v>
      </c>
      <c r="D613" s="20" t="s">
        <v>819</v>
      </c>
      <c r="E613" s="15">
        <f>0</f>
        <v>0</v>
      </c>
      <c r="F613" s="15">
        <f>0</f>
        <v>0</v>
      </c>
      <c r="G613" s="15" t="s">
        <v>18</v>
      </c>
      <c r="H613" s="15">
        <f>0</f>
        <v>0</v>
      </c>
    </row>
    <row r="614" spans="1:8" ht="15.75" x14ac:dyDescent="0.25">
      <c r="A614" s="8"/>
      <c r="B614" s="6"/>
      <c r="C614" s="22" t="s">
        <v>90</v>
      </c>
      <c r="D614" s="22"/>
      <c r="E614" s="16">
        <f>E534+E540+E544+E560+E575+E579</f>
        <v>371800.43000000005</v>
      </c>
      <c r="F614" s="16">
        <f>F534+F540+F544+F560+F575+F579</f>
        <v>369151.57</v>
      </c>
      <c r="G614" s="16" t="s">
        <v>820</v>
      </c>
      <c r="H614" s="16">
        <f>H534+H540+H544+H560+H575+H579</f>
        <v>369151.57</v>
      </c>
    </row>
    <row r="615" spans="1:8" ht="38.25" x14ac:dyDescent="0.25">
      <c r="A615" s="4">
        <v>9</v>
      </c>
      <c r="B615" s="5" t="s">
        <v>838</v>
      </c>
      <c r="C615" s="30" t="s">
        <v>10</v>
      </c>
      <c r="D615" s="30" t="s">
        <v>821</v>
      </c>
      <c r="E615" s="31">
        <f>E616+E617+E618+E619+E620+E621+E622+E623+E624+E626+E625+E627</f>
        <v>3681.51</v>
      </c>
      <c r="F615" s="31">
        <f>F616+F617+F618+F619+F620+F621+F622+F623+F624+F625+F626+F627</f>
        <v>3244.6099999999997</v>
      </c>
      <c r="G615" s="31" t="s">
        <v>749</v>
      </c>
      <c r="H615" s="31">
        <f>H616+H617+H618+H619+H620+H621+H622+H623+H624+H625+H626+H627</f>
        <v>3244.6099999999997</v>
      </c>
    </row>
    <row r="616" spans="1:8" ht="49.5" customHeight="1" x14ac:dyDescent="0.25">
      <c r="A616" s="4"/>
      <c r="B616" s="5"/>
      <c r="C616" s="20" t="s">
        <v>26</v>
      </c>
      <c r="D616" s="20" t="s">
        <v>822</v>
      </c>
      <c r="E616" s="15">
        <f>0</f>
        <v>0</v>
      </c>
      <c r="F616" s="15">
        <f>0</f>
        <v>0</v>
      </c>
      <c r="G616" s="32" t="s">
        <v>823</v>
      </c>
      <c r="H616" s="15">
        <f>0</f>
        <v>0</v>
      </c>
    </row>
    <row r="617" spans="1:8" ht="38.25" x14ac:dyDescent="0.25">
      <c r="A617" s="4"/>
      <c r="B617" s="5"/>
      <c r="C617" s="20" t="s">
        <v>28</v>
      </c>
      <c r="D617" s="20" t="s">
        <v>824</v>
      </c>
      <c r="E617" s="15">
        <f>60</f>
        <v>60</v>
      </c>
      <c r="F617" s="15">
        <f>59.91</f>
        <v>59.91</v>
      </c>
      <c r="G617" s="15" t="s">
        <v>825</v>
      </c>
      <c r="H617" s="15">
        <f>59.91</f>
        <v>59.91</v>
      </c>
    </row>
    <row r="618" spans="1:8" ht="51" x14ac:dyDescent="0.25">
      <c r="A618" s="4"/>
      <c r="B618" s="5"/>
      <c r="C618" s="20" t="s">
        <v>30</v>
      </c>
      <c r="D618" s="20" t="s">
        <v>826</v>
      </c>
      <c r="E618" s="15">
        <f>0</f>
        <v>0</v>
      </c>
      <c r="F618" s="15">
        <f>0</f>
        <v>0</v>
      </c>
      <c r="G618" s="15" t="s">
        <v>18</v>
      </c>
      <c r="H618" s="15">
        <f>0</f>
        <v>0</v>
      </c>
    </row>
    <row r="619" spans="1:8" ht="51" x14ac:dyDescent="0.25">
      <c r="A619" s="4"/>
      <c r="B619" s="5"/>
      <c r="C619" s="20" t="s">
        <v>33</v>
      </c>
      <c r="D619" s="20" t="s">
        <v>827</v>
      </c>
      <c r="E619" s="15">
        <f>0</f>
        <v>0</v>
      </c>
      <c r="F619" s="15">
        <f>0</f>
        <v>0</v>
      </c>
      <c r="G619" s="15" t="s">
        <v>18</v>
      </c>
      <c r="H619" s="15">
        <f>0</f>
        <v>0</v>
      </c>
    </row>
    <row r="620" spans="1:8" ht="63.75" x14ac:dyDescent="0.25">
      <c r="A620" s="4"/>
      <c r="B620" s="5"/>
      <c r="C620" s="20" t="s">
        <v>35</v>
      </c>
      <c r="D620" s="20" t="s">
        <v>828</v>
      </c>
      <c r="E620" s="15">
        <f>0</f>
        <v>0</v>
      </c>
      <c r="F620" s="15">
        <f>0</f>
        <v>0</v>
      </c>
      <c r="G620" s="15" t="s">
        <v>18</v>
      </c>
      <c r="H620" s="15">
        <f>0</f>
        <v>0</v>
      </c>
    </row>
    <row r="621" spans="1:8" ht="51" x14ac:dyDescent="0.25">
      <c r="A621" s="4"/>
      <c r="B621" s="5"/>
      <c r="C621" s="20" t="s">
        <v>276</v>
      </c>
      <c r="D621" s="20" t="s">
        <v>829</v>
      </c>
      <c r="E621" s="15">
        <f>0</f>
        <v>0</v>
      </c>
      <c r="F621" s="15">
        <f>0</f>
        <v>0</v>
      </c>
      <c r="G621" s="15" t="s">
        <v>18</v>
      </c>
      <c r="H621" s="15">
        <f>0</f>
        <v>0</v>
      </c>
    </row>
    <row r="622" spans="1:8" ht="51" x14ac:dyDescent="0.25">
      <c r="A622" s="4"/>
      <c r="B622" s="5"/>
      <c r="C622" s="20" t="s">
        <v>278</v>
      </c>
      <c r="D622" s="20" t="s">
        <v>830</v>
      </c>
      <c r="E622" s="15">
        <f>0</f>
        <v>0</v>
      </c>
      <c r="F622" s="15">
        <f>0</f>
        <v>0</v>
      </c>
      <c r="G622" s="15" t="s">
        <v>18</v>
      </c>
      <c r="H622" s="15">
        <f>0</f>
        <v>0</v>
      </c>
    </row>
    <row r="623" spans="1:8" ht="38.25" x14ac:dyDescent="0.25">
      <c r="A623" s="4"/>
      <c r="B623" s="5"/>
      <c r="C623" s="20" t="s">
        <v>38</v>
      </c>
      <c r="D623" s="20" t="s">
        <v>831</v>
      </c>
      <c r="E623" s="15">
        <f>100</f>
        <v>100</v>
      </c>
      <c r="F623" s="15">
        <f>100</f>
        <v>100</v>
      </c>
      <c r="G623" s="15" t="s">
        <v>446</v>
      </c>
      <c r="H623" s="15">
        <f>100</f>
        <v>100</v>
      </c>
    </row>
    <row r="624" spans="1:8" ht="25.5" x14ac:dyDescent="0.25">
      <c r="A624" s="4"/>
      <c r="B624" s="5"/>
      <c r="C624" s="20" t="s">
        <v>40</v>
      </c>
      <c r="D624" s="20" t="s">
        <v>832</v>
      </c>
      <c r="E624" s="15">
        <f>1040.47</f>
        <v>1040.47</v>
      </c>
      <c r="F624" s="15">
        <f>603.66</f>
        <v>603.66</v>
      </c>
      <c r="G624" s="15" t="s">
        <v>833</v>
      </c>
      <c r="H624" s="15">
        <f>603.66</f>
        <v>603.66</v>
      </c>
    </row>
    <row r="625" spans="1:8" ht="38.25" x14ac:dyDescent="0.25">
      <c r="A625" s="4"/>
      <c r="B625" s="5"/>
      <c r="C625" s="20" t="s">
        <v>42</v>
      </c>
      <c r="D625" s="20" t="s">
        <v>834</v>
      </c>
      <c r="E625" s="15">
        <f>530.53</f>
        <v>530.53</v>
      </c>
      <c r="F625" s="15">
        <f>530.53</f>
        <v>530.53</v>
      </c>
      <c r="G625" s="15" t="s">
        <v>446</v>
      </c>
      <c r="H625" s="15">
        <f>530.53</f>
        <v>530.53</v>
      </c>
    </row>
    <row r="626" spans="1:8" ht="63.75" x14ac:dyDescent="0.25">
      <c r="A626" s="4"/>
      <c r="B626" s="5"/>
      <c r="C626" s="20" t="s">
        <v>195</v>
      </c>
      <c r="D626" s="20" t="s">
        <v>835</v>
      </c>
      <c r="E626" s="15">
        <f>1950.51</f>
        <v>1950.51</v>
      </c>
      <c r="F626" s="15">
        <f>1950.51</f>
        <v>1950.51</v>
      </c>
      <c r="G626" s="15" t="s">
        <v>446</v>
      </c>
      <c r="H626" s="15">
        <f>1950.51</f>
        <v>1950.51</v>
      </c>
    </row>
    <row r="627" spans="1:8" ht="51" x14ac:dyDescent="0.25">
      <c r="A627" s="4"/>
      <c r="B627" s="5"/>
      <c r="C627" s="20" t="s">
        <v>203</v>
      </c>
      <c r="D627" s="20" t="s">
        <v>836</v>
      </c>
      <c r="E627" s="15">
        <f>0</f>
        <v>0</v>
      </c>
      <c r="F627" s="15">
        <f>0</f>
        <v>0</v>
      </c>
      <c r="G627" s="15" t="s">
        <v>837</v>
      </c>
      <c r="H627" s="15">
        <f>0</f>
        <v>0</v>
      </c>
    </row>
    <row r="628" spans="1:8" ht="15" customHeight="1" x14ac:dyDescent="0.25">
      <c r="A628" s="4"/>
      <c r="B628" s="5"/>
      <c r="C628" s="22" t="s">
        <v>90</v>
      </c>
      <c r="D628" s="22"/>
      <c r="E628" s="16">
        <f>E615</f>
        <v>3681.51</v>
      </c>
      <c r="F628" s="16">
        <f>F615</f>
        <v>3244.6099999999997</v>
      </c>
      <c r="G628" s="16" t="s">
        <v>749</v>
      </c>
      <c r="H628" s="16">
        <f>H615</f>
        <v>3244.6099999999997</v>
      </c>
    </row>
    <row r="629" spans="1:8" ht="38.25" customHeight="1" x14ac:dyDescent="0.25">
      <c r="A629" s="4">
        <v>10</v>
      </c>
      <c r="B629" s="5" t="s">
        <v>839</v>
      </c>
      <c r="C629" s="30" t="s">
        <v>10</v>
      </c>
      <c r="D629" s="30" t="s">
        <v>840</v>
      </c>
      <c r="E629" s="31">
        <f>E630+E647+E653</f>
        <v>97117.68</v>
      </c>
      <c r="F629" s="31">
        <f>F630+F647+F653</f>
        <v>97117.66</v>
      </c>
      <c r="G629" s="31" t="s">
        <v>446</v>
      </c>
      <c r="H629" s="31">
        <f>H630+H647+H653</f>
        <v>97117.66</v>
      </c>
    </row>
    <row r="630" spans="1:8" ht="38.25" x14ac:dyDescent="0.25">
      <c r="A630" s="4"/>
      <c r="B630" s="5"/>
      <c r="C630" s="33" t="s">
        <v>12</v>
      </c>
      <c r="D630" s="33" t="s">
        <v>841</v>
      </c>
      <c r="E630" s="34">
        <f>E631+E638+E639+E640+E641+E642+E645+E646</f>
        <v>53075.45</v>
      </c>
      <c r="F630" s="34">
        <f>F631+F638+F639+F640+F641+F642+F645+F646</f>
        <v>53075.44</v>
      </c>
      <c r="G630" s="34" t="s">
        <v>446</v>
      </c>
      <c r="H630" s="34">
        <f>H631+H638+H639+H640+H641+H642+H645+H646</f>
        <v>53075.44</v>
      </c>
    </row>
    <row r="631" spans="1:8" ht="38.25" x14ac:dyDescent="0.25">
      <c r="A631" s="4"/>
      <c r="B631" s="5"/>
      <c r="C631" s="35" t="s">
        <v>26</v>
      </c>
      <c r="D631" s="33" t="s">
        <v>842</v>
      </c>
      <c r="E631" s="34">
        <f>E632+E633+E634+E635+E636+E637</f>
        <v>25559.190000000002</v>
      </c>
      <c r="F631" s="34">
        <f>F632+F633+F634+F635+F636+F637</f>
        <v>25559.18</v>
      </c>
      <c r="G631" s="34" t="s">
        <v>446</v>
      </c>
      <c r="H631" s="34">
        <f>H632+H633+H634+H635+H636+H637</f>
        <v>25559.18</v>
      </c>
    </row>
    <row r="632" spans="1:8" ht="38.25" x14ac:dyDescent="0.25">
      <c r="A632" s="4"/>
      <c r="B632" s="5"/>
      <c r="C632" s="35" t="s">
        <v>216</v>
      </c>
      <c r="D632" s="33" t="s">
        <v>843</v>
      </c>
      <c r="E632" s="34">
        <f>371.6</f>
        <v>371.6</v>
      </c>
      <c r="F632" s="34">
        <f>371.6</f>
        <v>371.6</v>
      </c>
      <c r="G632" s="34" t="s">
        <v>446</v>
      </c>
      <c r="H632" s="34">
        <f>371.6</f>
        <v>371.6</v>
      </c>
    </row>
    <row r="633" spans="1:8" ht="38.25" x14ac:dyDescent="0.25">
      <c r="A633" s="4"/>
      <c r="B633" s="5"/>
      <c r="C633" s="35" t="s">
        <v>218</v>
      </c>
      <c r="D633" s="33" t="s">
        <v>844</v>
      </c>
      <c r="E633" s="34">
        <f>3997.58</f>
        <v>3997.58</v>
      </c>
      <c r="F633" s="34">
        <f>3997.57</f>
        <v>3997.57</v>
      </c>
      <c r="G633" s="34" t="s">
        <v>446</v>
      </c>
      <c r="H633" s="34">
        <f>3997.57</f>
        <v>3997.57</v>
      </c>
    </row>
    <row r="634" spans="1:8" ht="76.5" x14ac:dyDescent="0.25">
      <c r="A634" s="4"/>
      <c r="B634" s="5"/>
      <c r="C634" s="35" t="s">
        <v>220</v>
      </c>
      <c r="D634" s="33" t="s">
        <v>845</v>
      </c>
      <c r="E634" s="34">
        <f>9775.01</f>
        <v>9775.01</v>
      </c>
      <c r="F634" s="34">
        <f>9775.01</f>
        <v>9775.01</v>
      </c>
      <c r="G634" s="34" t="s">
        <v>446</v>
      </c>
      <c r="H634" s="34">
        <f>9775.01</f>
        <v>9775.01</v>
      </c>
    </row>
    <row r="635" spans="1:8" ht="38.25" x14ac:dyDescent="0.25">
      <c r="A635" s="4"/>
      <c r="B635" s="5"/>
      <c r="C635" s="35" t="s">
        <v>846</v>
      </c>
      <c r="D635" s="33" t="s">
        <v>847</v>
      </c>
      <c r="E635" s="34">
        <f>390</f>
        <v>390</v>
      </c>
      <c r="F635" s="34">
        <f>390</f>
        <v>390</v>
      </c>
      <c r="G635" s="34" t="s">
        <v>446</v>
      </c>
      <c r="H635" s="34">
        <f>390</f>
        <v>390</v>
      </c>
    </row>
    <row r="636" spans="1:8" ht="38.25" x14ac:dyDescent="0.25">
      <c r="A636" s="4"/>
      <c r="B636" s="5"/>
      <c r="C636" s="35" t="s">
        <v>848</v>
      </c>
      <c r="D636" s="33" t="s">
        <v>849</v>
      </c>
      <c r="E636" s="34">
        <f>10725</f>
        <v>10725</v>
      </c>
      <c r="F636" s="34">
        <f>10725</f>
        <v>10725</v>
      </c>
      <c r="G636" s="34" t="s">
        <v>446</v>
      </c>
      <c r="H636" s="34">
        <f>10725</f>
        <v>10725</v>
      </c>
    </row>
    <row r="637" spans="1:8" ht="63.75" x14ac:dyDescent="0.25">
      <c r="A637" s="4"/>
      <c r="B637" s="5"/>
      <c r="C637" s="35" t="s">
        <v>850</v>
      </c>
      <c r="D637" s="33" t="s">
        <v>851</v>
      </c>
      <c r="E637" s="34">
        <f>300</f>
        <v>300</v>
      </c>
      <c r="F637" s="34">
        <f>300</f>
        <v>300</v>
      </c>
      <c r="G637" s="34" t="s">
        <v>446</v>
      </c>
      <c r="H637" s="34">
        <f>300</f>
        <v>300</v>
      </c>
    </row>
    <row r="638" spans="1:8" ht="51" x14ac:dyDescent="0.25">
      <c r="A638" s="4"/>
      <c r="B638" s="5"/>
      <c r="C638" s="35" t="s">
        <v>28</v>
      </c>
      <c r="D638" s="33" t="s">
        <v>852</v>
      </c>
      <c r="E638" s="34">
        <f>0</f>
        <v>0</v>
      </c>
      <c r="F638" s="34">
        <f>0</f>
        <v>0</v>
      </c>
      <c r="G638" s="34" t="s">
        <v>18</v>
      </c>
      <c r="H638" s="34">
        <f>0</f>
        <v>0</v>
      </c>
    </row>
    <row r="639" spans="1:8" ht="51" x14ac:dyDescent="0.25">
      <c r="A639" s="4"/>
      <c r="B639" s="5"/>
      <c r="C639" s="35" t="s">
        <v>30</v>
      </c>
      <c r="D639" s="33" t="s">
        <v>853</v>
      </c>
      <c r="E639" s="34">
        <f>0</f>
        <v>0</v>
      </c>
      <c r="F639" s="34">
        <f>0</f>
        <v>0</v>
      </c>
      <c r="G639" s="34" t="s">
        <v>18</v>
      </c>
      <c r="H639" s="34">
        <f>0</f>
        <v>0</v>
      </c>
    </row>
    <row r="640" spans="1:8" ht="51" x14ac:dyDescent="0.25">
      <c r="A640" s="4"/>
      <c r="B640" s="5"/>
      <c r="C640" s="35" t="s">
        <v>87</v>
      </c>
      <c r="D640" s="33" t="s">
        <v>854</v>
      </c>
      <c r="E640" s="34">
        <f>0</f>
        <v>0</v>
      </c>
      <c r="F640" s="34">
        <f>0</f>
        <v>0</v>
      </c>
      <c r="G640" s="34" t="s">
        <v>18</v>
      </c>
      <c r="H640" s="34">
        <f>0</f>
        <v>0</v>
      </c>
    </row>
    <row r="641" spans="1:8" ht="51" x14ac:dyDescent="0.25">
      <c r="A641" s="4"/>
      <c r="B641" s="5"/>
      <c r="C641" s="35" t="s">
        <v>89</v>
      </c>
      <c r="D641" s="33" t="s">
        <v>1219</v>
      </c>
      <c r="E641" s="34">
        <f>0</f>
        <v>0</v>
      </c>
      <c r="F641" s="34">
        <f>0</f>
        <v>0</v>
      </c>
      <c r="G641" s="34" t="s">
        <v>18</v>
      </c>
      <c r="H641" s="34">
        <f>0</f>
        <v>0</v>
      </c>
    </row>
    <row r="642" spans="1:8" ht="38.25" x14ac:dyDescent="0.25">
      <c r="A642" s="4"/>
      <c r="B642" s="5"/>
      <c r="C642" s="35" t="s">
        <v>98</v>
      </c>
      <c r="D642" s="33" t="s">
        <v>855</v>
      </c>
      <c r="E642" s="34">
        <f>E643+E644</f>
        <v>26611.26</v>
      </c>
      <c r="F642" s="34">
        <f>F643+F644</f>
        <v>26611.26</v>
      </c>
      <c r="G642" s="34" t="s">
        <v>446</v>
      </c>
      <c r="H642" s="34">
        <f>H643+H644</f>
        <v>26611.26</v>
      </c>
    </row>
    <row r="643" spans="1:8" ht="38.25" x14ac:dyDescent="0.25">
      <c r="A643" s="4"/>
      <c r="B643" s="5"/>
      <c r="C643" s="35" t="s">
        <v>150</v>
      </c>
      <c r="D643" s="33" t="s">
        <v>856</v>
      </c>
      <c r="E643" s="34">
        <f>26477.26</f>
        <v>26477.26</v>
      </c>
      <c r="F643" s="34">
        <f>26477.26</f>
        <v>26477.26</v>
      </c>
      <c r="G643" s="34" t="s">
        <v>446</v>
      </c>
      <c r="H643" s="34">
        <f>26477.26</f>
        <v>26477.26</v>
      </c>
    </row>
    <row r="644" spans="1:8" ht="38.25" x14ac:dyDescent="0.25">
      <c r="A644" s="4"/>
      <c r="B644" s="5"/>
      <c r="C644" s="35" t="s">
        <v>152</v>
      </c>
      <c r="D644" s="33" t="s">
        <v>857</v>
      </c>
      <c r="E644" s="34">
        <f>134</f>
        <v>134</v>
      </c>
      <c r="F644" s="34">
        <f>134</f>
        <v>134</v>
      </c>
      <c r="G644" s="34" t="s">
        <v>446</v>
      </c>
      <c r="H644" s="34">
        <f>134</f>
        <v>134</v>
      </c>
    </row>
    <row r="645" spans="1:8" ht="38.25" x14ac:dyDescent="0.25">
      <c r="A645" s="4"/>
      <c r="B645" s="5"/>
      <c r="C645" s="35" t="s">
        <v>100</v>
      </c>
      <c r="D645" s="33" t="s">
        <v>858</v>
      </c>
      <c r="E645" s="34">
        <f>427.5</f>
        <v>427.5</v>
      </c>
      <c r="F645" s="34">
        <f>427.5</f>
        <v>427.5</v>
      </c>
      <c r="G645" s="34" t="s">
        <v>446</v>
      </c>
      <c r="H645" s="34">
        <f>427.5</f>
        <v>427.5</v>
      </c>
    </row>
    <row r="646" spans="1:8" ht="38.25" x14ac:dyDescent="0.25">
      <c r="A646" s="4"/>
      <c r="B646" s="5"/>
      <c r="C646" s="35" t="s">
        <v>102</v>
      </c>
      <c r="D646" s="33" t="s">
        <v>859</v>
      </c>
      <c r="E646" s="34">
        <f>477.5</f>
        <v>477.5</v>
      </c>
      <c r="F646" s="34">
        <f>477.5</f>
        <v>477.5</v>
      </c>
      <c r="G646" s="34" t="s">
        <v>446</v>
      </c>
      <c r="H646" s="34">
        <f>477.5</f>
        <v>477.5</v>
      </c>
    </row>
    <row r="647" spans="1:8" ht="38.25" x14ac:dyDescent="0.25">
      <c r="A647" s="4"/>
      <c r="B647" s="5"/>
      <c r="C647" s="33" t="s">
        <v>14</v>
      </c>
      <c r="D647" s="33" t="s">
        <v>860</v>
      </c>
      <c r="E647" s="34">
        <f>E648+E649+E650+E651+E652</f>
        <v>34042.230000000003</v>
      </c>
      <c r="F647" s="34">
        <f>F648+F649+F650+F651+F652</f>
        <v>34042.22</v>
      </c>
      <c r="G647" s="34" t="s">
        <v>446</v>
      </c>
      <c r="H647" s="34">
        <f>H648+H649+H650+H651+H652</f>
        <v>34042.22</v>
      </c>
    </row>
    <row r="648" spans="1:8" ht="38.25" x14ac:dyDescent="0.25">
      <c r="A648" s="4"/>
      <c r="B648" s="5"/>
      <c r="C648" s="35" t="s">
        <v>33</v>
      </c>
      <c r="D648" s="33" t="s">
        <v>861</v>
      </c>
      <c r="E648" s="34">
        <f>3103.67</f>
        <v>3103.67</v>
      </c>
      <c r="F648" s="34">
        <f>3103.66</f>
        <v>3103.66</v>
      </c>
      <c r="G648" s="34" t="s">
        <v>446</v>
      </c>
      <c r="H648" s="34">
        <f>3103.66</f>
        <v>3103.66</v>
      </c>
    </row>
    <row r="649" spans="1:8" ht="51" x14ac:dyDescent="0.25">
      <c r="A649" s="4"/>
      <c r="B649" s="5"/>
      <c r="C649" s="35" t="s">
        <v>35</v>
      </c>
      <c r="D649" s="33" t="s">
        <v>862</v>
      </c>
      <c r="E649" s="34">
        <f>0</f>
        <v>0</v>
      </c>
      <c r="F649" s="34">
        <f>0</f>
        <v>0</v>
      </c>
      <c r="G649" s="34" t="s">
        <v>18</v>
      </c>
      <c r="H649" s="34">
        <f>0</f>
        <v>0</v>
      </c>
    </row>
    <row r="650" spans="1:8" ht="51" x14ac:dyDescent="0.25">
      <c r="A650" s="4"/>
      <c r="B650" s="5"/>
      <c r="C650" s="35" t="s">
        <v>276</v>
      </c>
      <c r="D650" s="33" t="s">
        <v>863</v>
      </c>
      <c r="E650" s="34">
        <f>0</f>
        <v>0</v>
      </c>
      <c r="F650" s="34">
        <f>0</f>
        <v>0</v>
      </c>
      <c r="G650" s="34" t="s">
        <v>18</v>
      </c>
      <c r="H650" s="34">
        <f>0</f>
        <v>0</v>
      </c>
    </row>
    <row r="651" spans="1:8" ht="63.75" x14ac:dyDescent="0.25">
      <c r="A651" s="4"/>
      <c r="B651" s="5"/>
      <c r="C651" s="35" t="s">
        <v>278</v>
      </c>
      <c r="D651" s="33" t="s">
        <v>864</v>
      </c>
      <c r="E651" s="34">
        <f>0</f>
        <v>0</v>
      </c>
      <c r="F651" s="34">
        <f>0</f>
        <v>0</v>
      </c>
      <c r="G651" s="34" t="s">
        <v>18</v>
      </c>
      <c r="H651" s="34">
        <f>0</f>
        <v>0</v>
      </c>
    </row>
    <row r="652" spans="1:8" ht="38.25" x14ac:dyDescent="0.25">
      <c r="A652" s="4"/>
      <c r="B652" s="5"/>
      <c r="C652" s="35" t="s">
        <v>458</v>
      </c>
      <c r="D652" s="33" t="s">
        <v>860</v>
      </c>
      <c r="E652" s="34">
        <f>30938.56</f>
        <v>30938.560000000001</v>
      </c>
      <c r="F652" s="34">
        <f>30938.56</f>
        <v>30938.560000000001</v>
      </c>
      <c r="G652" s="34" t="s">
        <v>446</v>
      </c>
      <c r="H652" s="34">
        <f>30938.56</f>
        <v>30938.560000000001</v>
      </c>
    </row>
    <row r="653" spans="1:8" ht="38.25" x14ac:dyDescent="0.25">
      <c r="A653" s="4"/>
      <c r="B653" s="5"/>
      <c r="C653" s="33" t="s">
        <v>16</v>
      </c>
      <c r="D653" s="33" t="s">
        <v>865</v>
      </c>
      <c r="E653" s="34">
        <f>E654+E655</f>
        <v>10000</v>
      </c>
      <c r="F653" s="34">
        <f>F654+F655</f>
        <v>10000</v>
      </c>
      <c r="G653" s="34" t="s">
        <v>446</v>
      </c>
      <c r="H653" s="34">
        <f>H654+H655</f>
        <v>10000</v>
      </c>
    </row>
    <row r="654" spans="1:8" ht="38.25" x14ac:dyDescent="0.25">
      <c r="A654" s="4"/>
      <c r="B654" s="5"/>
      <c r="C654" s="35" t="s">
        <v>38</v>
      </c>
      <c r="D654" s="33" t="s">
        <v>866</v>
      </c>
      <c r="E654" s="34">
        <f>10000</f>
        <v>10000</v>
      </c>
      <c r="F654" s="34">
        <f>10000</f>
        <v>10000</v>
      </c>
      <c r="G654" s="34" t="s">
        <v>446</v>
      </c>
      <c r="H654" s="34">
        <f>10000</f>
        <v>10000</v>
      </c>
    </row>
    <row r="655" spans="1:8" ht="51" x14ac:dyDescent="0.25">
      <c r="A655" s="4"/>
      <c r="B655" s="5"/>
      <c r="C655" s="35" t="s">
        <v>40</v>
      </c>
      <c r="D655" s="33" t="s">
        <v>867</v>
      </c>
      <c r="E655" s="34">
        <f>0</f>
        <v>0</v>
      </c>
      <c r="F655" s="34">
        <f>0</f>
        <v>0</v>
      </c>
      <c r="G655" s="34" t="s">
        <v>18</v>
      </c>
      <c r="H655" s="34">
        <f>0</f>
        <v>0</v>
      </c>
    </row>
    <row r="656" spans="1:8" ht="38.25" x14ac:dyDescent="0.25">
      <c r="A656" s="4"/>
      <c r="B656" s="5"/>
      <c r="C656" s="30" t="s">
        <v>23</v>
      </c>
      <c r="D656" s="30" t="s">
        <v>868</v>
      </c>
      <c r="E656" s="31">
        <f>E657+E672+E677</f>
        <v>146467.17000000001</v>
      </c>
      <c r="F656" s="31">
        <f>F657+F672+F677</f>
        <v>145219.55000000002</v>
      </c>
      <c r="G656" s="31" t="s">
        <v>869</v>
      </c>
      <c r="H656" s="31">
        <f>H657+H672+H677</f>
        <v>145219.55000000002</v>
      </c>
    </row>
    <row r="657" spans="1:8" ht="38.25" x14ac:dyDescent="0.25">
      <c r="A657" s="4"/>
      <c r="B657" s="5"/>
      <c r="C657" s="33" t="s">
        <v>12</v>
      </c>
      <c r="D657" s="33" t="s">
        <v>870</v>
      </c>
      <c r="E657" s="34">
        <f>E658+E659+E660+E661+E662+E663+E669+E670+E671</f>
        <v>92621.47</v>
      </c>
      <c r="F657" s="34">
        <f>F658+F659+F660+F661+F662+F663+F669+F670+F671</f>
        <v>92111.200000000012</v>
      </c>
      <c r="G657" s="34" t="s">
        <v>871</v>
      </c>
      <c r="H657" s="34">
        <f>H658+H659+H660+H661+H662+H663+H669+H670+H671</f>
        <v>92111.200000000012</v>
      </c>
    </row>
    <row r="658" spans="1:8" ht="51" x14ac:dyDescent="0.25">
      <c r="A658" s="4"/>
      <c r="B658" s="5"/>
      <c r="C658" s="35" t="s">
        <v>26</v>
      </c>
      <c r="D658" s="33" t="s">
        <v>872</v>
      </c>
      <c r="E658" s="34">
        <f>0</f>
        <v>0</v>
      </c>
      <c r="F658" s="34">
        <f>0</f>
        <v>0</v>
      </c>
      <c r="G658" s="34" t="s">
        <v>18</v>
      </c>
      <c r="H658" s="34">
        <f>0</f>
        <v>0</v>
      </c>
    </row>
    <row r="659" spans="1:8" ht="38.25" x14ac:dyDescent="0.25">
      <c r="A659" s="4"/>
      <c r="B659" s="5"/>
      <c r="C659" s="35" t="s">
        <v>28</v>
      </c>
      <c r="D659" s="33" t="s">
        <v>873</v>
      </c>
      <c r="E659" s="34">
        <f>6895</f>
        <v>6895</v>
      </c>
      <c r="F659" s="34">
        <f>6384.74</f>
        <v>6384.74</v>
      </c>
      <c r="G659" s="34" t="s">
        <v>874</v>
      </c>
      <c r="H659" s="34">
        <f>6384.74</f>
        <v>6384.74</v>
      </c>
    </row>
    <row r="660" spans="1:8" ht="51" x14ac:dyDescent="0.25">
      <c r="A660" s="4"/>
      <c r="B660" s="5"/>
      <c r="C660" s="35" t="s">
        <v>30</v>
      </c>
      <c r="D660" s="33" t="s">
        <v>875</v>
      </c>
      <c r="E660" s="34">
        <f>0</f>
        <v>0</v>
      </c>
      <c r="F660" s="34">
        <f>0</f>
        <v>0</v>
      </c>
      <c r="G660" s="34" t="s">
        <v>18</v>
      </c>
      <c r="H660" s="34">
        <f>0</f>
        <v>0</v>
      </c>
    </row>
    <row r="661" spans="1:8" ht="38.25" x14ac:dyDescent="0.25">
      <c r="A661" s="4"/>
      <c r="B661" s="5"/>
      <c r="C661" s="35" t="s">
        <v>87</v>
      </c>
      <c r="D661" s="33" t="s">
        <v>876</v>
      </c>
      <c r="E661" s="34">
        <f>871.5</f>
        <v>871.5</v>
      </c>
      <c r="F661" s="34">
        <f>871.5</f>
        <v>871.5</v>
      </c>
      <c r="G661" s="34" t="s">
        <v>446</v>
      </c>
      <c r="H661" s="34">
        <f>871.5</f>
        <v>871.5</v>
      </c>
    </row>
    <row r="662" spans="1:8" ht="51" x14ac:dyDescent="0.25">
      <c r="A662" s="4"/>
      <c r="B662" s="5"/>
      <c r="C662" s="35" t="s">
        <v>89</v>
      </c>
      <c r="D662" s="33" t="s">
        <v>877</v>
      </c>
      <c r="E662" s="34">
        <f>0</f>
        <v>0</v>
      </c>
      <c r="F662" s="34">
        <f>0</f>
        <v>0</v>
      </c>
      <c r="G662" s="34" t="s">
        <v>18</v>
      </c>
      <c r="H662" s="34">
        <f>0</f>
        <v>0</v>
      </c>
    </row>
    <row r="663" spans="1:8" ht="51" x14ac:dyDescent="0.25">
      <c r="A663" s="4"/>
      <c r="B663" s="5"/>
      <c r="C663" s="35" t="s">
        <v>98</v>
      </c>
      <c r="D663" s="33" t="s">
        <v>878</v>
      </c>
      <c r="E663" s="34">
        <f>E664+E665+E666+E667+E668</f>
        <v>84854.97</v>
      </c>
      <c r="F663" s="34">
        <f>F664+F665+F666+F667+F668</f>
        <v>84854.96</v>
      </c>
      <c r="G663" s="34" t="s">
        <v>446</v>
      </c>
      <c r="H663" s="34">
        <f>H664+H665+H666+H667+H668</f>
        <v>84854.96</v>
      </c>
    </row>
    <row r="664" spans="1:8" ht="38.25" x14ac:dyDescent="0.25">
      <c r="A664" s="4"/>
      <c r="B664" s="5"/>
      <c r="C664" s="35" t="s">
        <v>150</v>
      </c>
      <c r="D664" s="33" t="s">
        <v>879</v>
      </c>
      <c r="E664" s="34">
        <f>71429.6</f>
        <v>71429.600000000006</v>
      </c>
      <c r="F664" s="34">
        <f>71429.6</f>
        <v>71429.600000000006</v>
      </c>
      <c r="G664" s="34" t="s">
        <v>446</v>
      </c>
      <c r="H664" s="34">
        <f>71429.6</f>
        <v>71429.600000000006</v>
      </c>
    </row>
    <row r="665" spans="1:8" ht="38.25" x14ac:dyDescent="0.25">
      <c r="A665" s="4"/>
      <c r="B665" s="5"/>
      <c r="C665" s="35" t="s">
        <v>152</v>
      </c>
      <c r="D665" s="33" t="s">
        <v>880</v>
      </c>
      <c r="E665" s="34">
        <f>5700</f>
        <v>5700</v>
      </c>
      <c r="F665" s="34">
        <f>5700</f>
        <v>5700</v>
      </c>
      <c r="G665" s="34" t="s">
        <v>446</v>
      </c>
      <c r="H665" s="34">
        <f>5700</f>
        <v>5700</v>
      </c>
    </row>
    <row r="666" spans="1:8" ht="51" x14ac:dyDescent="0.25">
      <c r="A666" s="4"/>
      <c r="B666" s="5"/>
      <c r="C666" s="35" t="s">
        <v>154</v>
      </c>
      <c r="D666" s="33" t="s">
        <v>881</v>
      </c>
      <c r="E666" s="34">
        <f>0</f>
        <v>0</v>
      </c>
      <c r="F666" s="34">
        <f>0</f>
        <v>0</v>
      </c>
      <c r="G666" s="34" t="s">
        <v>18</v>
      </c>
      <c r="H666" s="34">
        <f>0</f>
        <v>0</v>
      </c>
    </row>
    <row r="667" spans="1:8" ht="51" x14ac:dyDescent="0.25">
      <c r="A667" s="4"/>
      <c r="B667" s="5"/>
      <c r="C667" s="35" t="s">
        <v>156</v>
      </c>
      <c r="D667" s="33" t="s">
        <v>882</v>
      </c>
      <c r="E667" s="34">
        <f>0</f>
        <v>0</v>
      </c>
      <c r="F667" s="34">
        <f>0</f>
        <v>0</v>
      </c>
      <c r="G667" s="34" t="s">
        <v>18</v>
      </c>
      <c r="H667" s="34">
        <f>0</f>
        <v>0</v>
      </c>
    </row>
    <row r="668" spans="1:8" ht="38.25" x14ac:dyDescent="0.25">
      <c r="A668" s="4"/>
      <c r="B668" s="5"/>
      <c r="C668" s="35" t="s">
        <v>883</v>
      </c>
      <c r="D668" s="33" t="s">
        <v>884</v>
      </c>
      <c r="E668" s="34">
        <f>7725.37</f>
        <v>7725.37</v>
      </c>
      <c r="F668" s="34">
        <f>7725.36</f>
        <v>7725.36</v>
      </c>
      <c r="G668" s="34" t="s">
        <v>446</v>
      </c>
      <c r="H668" s="34">
        <f>7725.36</f>
        <v>7725.36</v>
      </c>
    </row>
    <row r="669" spans="1:8" ht="51" x14ac:dyDescent="0.25">
      <c r="A669" s="4"/>
      <c r="B669" s="5"/>
      <c r="C669" s="35" t="s">
        <v>100</v>
      </c>
      <c r="D669" s="33" t="s">
        <v>885</v>
      </c>
      <c r="E669" s="34">
        <f>0</f>
        <v>0</v>
      </c>
      <c r="F669" s="34">
        <f>0</f>
        <v>0</v>
      </c>
      <c r="G669" s="34" t="s">
        <v>18</v>
      </c>
      <c r="H669" s="34">
        <f>0</f>
        <v>0</v>
      </c>
    </row>
    <row r="670" spans="1:8" ht="51" x14ac:dyDescent="0.25">
      <c r="A670" s="4"/>
      <c r="B670" s="5"/>
      <c r="C670" s="35" t="s">
        <v>102</v>
      </c>
      <c r="D670" s="33" t="s">
        <v>886</v>
      </c>
      <c r="E670" s="34">
        <f>0</f>
        <v>0</v>
      </c>
      <c r="F670" s="34">
        <f>0</f>
        <v>0</v>
      </c>
      <c r="G670" s="34" t="s">
        <v>18</v>
      </c>
      <c r="H670" s="34">
        <f>0</f>
        <v>0</v>
      </c>
    </row>
    <row r="671" spans="1:8" ht="51" x14ac:dyDescent="0.25">
      <c r="A671" s="4"/>
      <c r="B671" s="5"/>
      <c r="C671" s="35" t="s">
        <v>104</v>
      </c>
      <c r="D671" s="33" t="s">
        <v>887</v>
      </c>
      <c r="E671" s="34">
        <f>0</f>
        <v>0</v>
      </c>
      <c r="F671" s="34">
        <f>0</f>
        <v>0</v>
      </c>
      <c r="G671" s="34" t="s">
        <v>18</v>
      </c>
      <c r="H671" s="34">
        <f>0</f>
        <v>0</v>
      </c>
    </row>
    <row r="672" spans="1:8" ht="38.25" x14ac:dyDescent="0.25">
      <c r="A672" s="4"/>
      <c r="B672" s="5"/>
      <c r="C672" s="33" t="s">
        <v>14</v>
      </c>
      <c r="D672" s="33" t="s">
        <v>888</v>
      </c>
      <c r="E672" s="34">
        <f>E673+E674+E675+E676</f>
        <v>16500</v>
      </c>
      <c r="F672" s="34">
        <f>F673+F674+F675+F676</f>
        <v>15836.41</v>
      </c>
      <c r="G672" s="34" t="s">
        <v>889</v>
      </c>
      <c r="H672" s="34">
        <f>H673+H674+H675+H676</f>
        <v>15836.41</v>
      </c>
    </row>
    <row r="673" spans="1:8" ht="38.25" x14ac:dyDescent="0.25">
      <c r="A673" s="4"/>
      <c r="B673" s="5"/>
      <c r="C673" s="35" t="s">
        <v>33</v>
      </c>
      <c r="D673" s="33" t="s">
        <v>890</v>
      </c>
      <c r="E673" s="34">
        <f>16500</f>
        <v>16500</v>
      </c>
      <c r="F673" s="34">
        <f>15836.41</f>
        <v>15836.41</v>
      </c>
      <c r="G673" s="34" t="s">
        <v>889</v>
      </c>
      <c r="H673" s="34">
        <f>15836.41</f>
        <v>15836.41</v>
      </c>
    </row>
    <row r="674" spans="1:8" ht="76.5" x14ac:dyDescent="0.25">
      <c r="A674" s="4"/>
      <c r="B674" s="5"/>
      <c r="C674" s="35" t="s">
        <v>35</v>
      </c>
      <c r="D674" s="33" t="s">
        <v>891</v>
      </c>
      <c r="E674" s="34">
        <f>0</f>
        <v>0</v>
      </c>
      <c r="F674" s="34">
        <f>0</f>
        <v>0</v>
      </c>
      <c r="G674" s="34" t="s">
        <v>18</v>
      </c>
      <c r="H674" s="34">
        <f>0</f>
        <v>0</v>
      </c>
    </row>
    <row r="675" spans="1:8" ht="51" x14ac:dyDescent="0.25">
      <c r="A675" s="4"/>
      <c r="B675" s="5"/>
      <c r="C675" s="35" t="s">
        <v>276</v>
      </c>
      <c r="D675" s="33" t="s">
        <v>892</v>
      </c>
      <c r="E675" s="34">
        <f>0</f>
        <v>0</v>
      </c>
      <c r="F675" s="34">
        <f>0</f>
        <v>0</v>
      </c>
      <c r="G675" s="34" t="s">
        <v>18</v>
      </c>
      <c r="H675" s="34">
        <f>0</f>
        <v>0</v>
      </c>
    </row>
    <row r="676" spans="1:8" ht="89.25" x14ac:dyDescent="0.25">
      <c r="A676" s="4"/>
      <c r="B676" s="5"/>
      <c r="C676" s="35" t="s">
        <v>278</v>
      </c>
      <c r="D676" s="33" t="s">
        <v>893</v>
      </c>
      <c r="E676" s="34">
        <f>0</f>
        <v>0</v>
      </c>
      <c r="F676" s="34">
        <f>0</f>
        <v>0</v>
      </c>
      <c r="G676" s="34" t="s">
        <v>18</v>
      </c>
      <c r="H676" s="34">
        <f>0</f>
        <v>0</v>
      </c>
    </row>
    <row r="677" spans="1:8" ht="38.25" x14ac:dyDescent="0.25">
      <c r="A677" s="4"/>
      <c r="B677" s="5"/>
      <c r="C677" s="33" t="s">
        <v>16</v>
      </c>
      <c r="D677" s="33" t="s">
        <v>894</v>
      </c>
      <c r="E677" s="34">
        <f>E678+E679+E680+E681+E682+E683</f>
        <v>37345.700000000004</v>
      </c>
      <c r="F677" s="34">
        <f>F678+F679+F680+F681+F682+F683</f>
        <v>37271.94</v>
      </c>
      <c r="G677" s="34" t="s">
        <v>527</v>
      </c>
      <c r="H677" s="34">
        <f>H678+H679+H680+H681+H682+H683</f>
        <v>37271.94</v>
      </c>
    </row>
    <row r="678" spans="1:8" ht="51" x14ac:dyDescent="0.25">
      <c r="A678" s="4"/>
      <c r="B678" s="5"/>
      <c r="C678" s="35" t="s">
        <v>38</v>
      </c>
      <c r="D678" s="33" t="s">
        <v>895</v>
      </c>
      <c r="E678" s="34">
        <f>0</f>
        <v>0</v>
      </c>
      <c r="F678" s="34">
        <f>0</f>
        <v>0</v>
      </c>
      <c r="G678" s="34" t="s">
        <v>18</v>
      </c>
      <c r="H678" s="34">
        <f>0</f>
        <v>0</v>
      </c>
    </row>
    <row r="679" spans="1:8" ht="89.25" x14ac:dyDescent="0.25">
      <c r="A679" s="4"/>
      <c r="B679" s="5"/>
      <c r="C679" s="35" t="s">
        <v>40</v>
      </c>
      <c r="D679" s="33" t="s">
        <v>896</v>
      </c>
      <c r="E679" s="34">
        <f>1044.5+2749.22</f>
        <v>3793.72</v>
      </c>
      <c r="F679" s="34">
        <f>1044.5+2749.22</f>
        <v>3793.72</v>
      </c>
      <c r="G679" s="34" t="s">
        <v>446</v>
      </c>
      <c r="H679" s="34">
        <f>1044.5+2749.22</f>
        <v>3793.72</v>
      </c>
    </row>
    <row r="680" spans="1:8" ht="76.5" x14ac:dyDescent="0.25">
      <c r="A680" s="4"/>
      <c r="B680" s="5"/>
      <c r="C680" s="35" t="s">
        <v>42</v>
      </c>
      <c r="D680" s="33" t="s">
        <v>897</v>
      </c>
      <c r="E680" s="34">
        <f>0</f>
        <v>0</v>
      </c>
      <c r="F680" s="34">
        <f>0</f>
        <v>0</v>
      </c>
      <c r="G680" s="34" t="s">
        <v>18</v>
      </c>
      <c r="H680" s="34">
        <f>0</f>
        <v>0</v>
      </c>
    </row>
    <row r="681" spans="1:8" ht="51" x14ac:dyDescent="0.25">
      <c r="A681" s="4"/>
      <c r="B681" s="5"/>
      <c r="C681" s="35" t="s">
        <v>344</v>
      </c>
      <c r="D681" s="33" t="s">
        <v>898</v>
      </c>
      <c r="E681" s="34">
        <f>129.36+12806</f>
        <v>12935.36</v>
      </c>
      <c r="F681" s="34">
        <f>128.62+12733.04</f>
        <v>12861.660000000002</v>
      </c>
      <c r="G681" s="34" t="s">
        <v>899</v>
      </c>
      <c r="H681" s="34">
        <f>128.62+12733.04</f>
        <v>12861.660000000002</v>
      </c>
    </row>
    <row r="682" spans="1:8" ht="51" x14ac:dyDescent="0.25">
      <c r="A682" s="4"/>
      <c r="B682" s="5"/>
      <c r="C682" s="35" t="s">
        <v>649</v>
      </c>
      <c r="D682" s="33" t="s">
        <v>900</v>
      </c>
      <c r="E682" s="34">
        <f>193.05+19112</f>
        <v>19305.05</v>
      </c>
      <c r="F682" s="34">
        <f>193+19112</f>
        <v>19305</v>
      </c>
      <c r="G682" s="34" t="s">
        <v>446</v>
      </c>
      <c r="H682" s="34">
        <f>193+19112</f>
        <v>19305</v>
      </c>
    </row>
    <row r="683" spans="1:8" ht="63.75" x14ac:dyDescent="0.25">
      <c r="A683" s="4"/>
      <c r="B683" s="5"/>
      <c r="C683" s="35" t="s">
        <v>651</v>
      </c>
      <c r="D683" s="33" t="s">
        <v>901</v>
      </c>
      <c r="E683" s="34">
        <f>1311.57</f>
        <v>1311.57</v>
      </c>
      <c r="F683" s="34">
        <f>1311.56</f>
        <v>1311.56</v>
      </c>
      <c r="G683" s="34" t="s">
        <v>446</v>
      </c>
      <c r="H683" s="34">
        <f>1311.56</f>
        <v>1311.56</v>
      </c>
    </row>
    <row r="684" spans="1:8" ht="51" x14ac:dyDescent="0.25">
      <c r="A684" s="4"/>
      <c r="B684" s="5"/>
      <c r="C684" s="30" t="s">
        <v>63</v>
      </c>
      <c r="D684" s="30" t="s">
        <v>902</v>
      </c>
      <c r="E684" s="31">
        <f>E685</f>
        <v>303568.32999999996</v>
      </c>
      <c r="F684" s="31">
        <f>F685</f>
        <v>303504.90000000002</v>
      </c>
      <c r="G684" s="31" t="s">
        <v>446</v>
      </c>
      <c r="H684" s="31">
        <f>H685</f>
        <v>303504.90000000002</v>
      </c>
    </row>
    <row r="685" spans="1:8" ht="63.75" x14ac:dyDescent="0.25">
      <c r="A685" s="4"/>
      <c r="B685" s="5"/>
      <c r="C685" s="33" t="s">
        <v>12</v>
      </c>
      <c r="D685" s="33" t="s">
        <v>903</v>
      </c>
      <c r="E685" s="34">
        <f>E686+E687+E688+E689+E690</f>
        <v>303568.32999999996</v>
      </c>
      <c r="F685" s="34">
        <f>F686+F687+F688+F689+F690</f>
        <v>303504.90000000002</v>
      </c>
      <c r="G685" s="34" t="s">
        <v>446</v>
      </c>
      <c r="H685" s="34">
        <f>H686+H687+H688+H689+H690</f>
        <v>303504.90000000002</v>
      </c>
    </row>
    <row r="686" spans="1:8" ht="51" x14ac:dyDescent="0.25">
      <c r="A686" s="4"/>
      <c r="B686" s="5"/>
      <c r="C686" s="35" t="s">
        <v>26</v>
      </c>
      <c r="D686" s="33" t="s">
        <v>904</v>
      </c>
      <c r="E686" s="34">
        <f>22545</f>
        <v>22545</v>
      </c>
      <c r="F686" s="34">
        <f>22544.01</f>
        <v>22544.01</v>
      </c>
      <c r="G686" s="34" t="s">
        <v>446</v>
      </c>
      <c r="H686" s="34">
        <f>22544.01</f>
        <v>22544.01</v>
      </c>
    </row>
    <row r="687" spans="1:8" ht="38.25" x14ac:dyDescent="0.25">
      <c r="A687" s="4"/>
      <c r="B687" s="5"/>
      <c r="C687" s="35" t="s">
        <v>28</v>
      </c>
      <c r="D687" s="33" t="s">
        <v>905</v>
      </c>
      <c r="E687" s="34">
        <f>462.65</f>
        <v>462.65</v>
      </c>
      <c r="F687" s="34">
        <f>462.64</f>
        <v>462.64</v>
      </c>
      <c r="G687" s="34" t="s">
        <v>446</v>
      </c>
      <c r="H687" s="34">
        <f>462.64</f>
        <v>462.64</v>
      </c>
    </row>
    <row r="688" spans="1:8" ht="38.25" x14ac:dyDescent="0.25">
      <c r="A688" s="4"/>
      <c r="B688" s="5"/>
      <c r="C688" s="35" t="s">
        <v>30</v>
      </c>
      <c r="D688" s="33" t="s">
        <v>906</v>
      </c>
      <c r="E688" s="34">
        <f>4516.48+16201.33+40481.59</f>
        <v>61199.399999999994</v>
      </c>
      <c r="F688" s="34">
        <f>4502.85+16152.53+40481.59</f>
        <v>61136.97</v>
      </c>
      <c r="G688" s="34" t="s">
        <v>558</v>
      </c>
      <c r="H688" s="34">
        <f>4502.85+16152.53+40481.59</f>
        <v>61136.97</v>
      </c>
    </row>
    <row r="689" spans="1:8" ht="51" x14ac:dyDescent="0.25">
      <c r="A689" s="4"/>
      <c r="B689" s="5"/>
      <c r="C689" s="35" t="s">
        <v>87</v>
      </c>
      <c r="D689" s="33" t="s">
        <v>907</v>
      </c>
      <c r="E689" s="34">
        <f>219361.28</f>
        <v>219361.28</v>
      </c>
      <c r="F689" s="34">
        <f>219361.28</f>
        <v>219361.28</v>
      </c>
      <c r="G689" s="34" t="s">
        <v>446</v>
      </c>
      <c r="H689" s="34">
        <f>219361.28</f>
        <v>219361.28</v>
      </c>
    </row>
    <row r="690" spans="1:8" ht="51" x14ac:dyDescent="0.25">
      <c r="A690" s="4"/>
      <c r="B690" s="5"/>
      <c r="C690" s="35" t="s">
        <v>89</v>
      </c>
      <c r="D690" s="33" t="s">
        <v>908</v>
      </c>
      <c r="E690" s="34">
        <f>0</f>
        <v>0</v>
      </c>
      <c r="F690" s="34">
        <f>0</f>
        <v>0</v>
      </c>
      <c r="G690" s="34" t="s">
        <v>18</v>
      </c>
      <c r="H690" s="34">
        <f>0</f>
        <v>0</v>
      </c>
    </row>
    <row r="691" spans="1:8" ht="15" customHeight="1" x14ac:dyDescent="0.25">
      <c r="A691" s="4"/>
      <c r="B691" s="5"/>
      <c r="C691" s="36" t="s">
        <v>90</v>
      </c>
      <c r="D691" s="36"/>
      <c r="E691" s="12">
        <f>E629+E656+E684</f>
        <v>547153.17999999993</v>
      </c>
      <c r="F691" s="12">
        <f>F629+F656+F684</f>
        <v>545842.1100000001</v>
      </c>
      <c r="G691" s="12" t="s">
        <v>527</v>
      </c>
      <c r="H691" s="12">
        <f>H629+H656+H684</f>
        <v>545842.1100000001</v>
      </c>
    </row>
    <row r="692" spans="1:8" s="3" customFormat="1" ht="38.25" x14ac:dyDescent="0.2">
      <c r="A692" s="4">
        <v>11</v>
      </c>
      <c r="B692" s="5" t="s">
        <v>909</v>
      </c>
      <c r="C692" s="30" t="s">
        <v>10</v>
      </c>
      <c r="D692" s="30" t="s">
        <v>910</v>
      </c>
      <c r="E692" s="31">
        <f>E693</f>
        <v>90902.37</v>
      </c>
      <c r="F692" s="31">
        <f>F693</f>
        <v>90902.37</v>
      </c>
      <c r="G692" s="31" t="s">
        <v>446</v>
      </c>
      <c r="H692" s="31">
        <f>H693</f>
        <v>90902.37</v>
      </c>
    </row>
    <row r="693" spans="1:8" ht="38.25" x14ac:dyDescent="0.25">
      <c r="A693" s="4"/>
      <c r="B693" s="5"/>
      <c r="C693" s="33" t="s">
        <v>12</v>
      </c>
      <c r="D693" s="33" t="s">
        <v>911</v>
      </c>
      <c r="E693" s="34">
        <f>E694+E695+E696+E697+E698+E699</f>
        <v>90902.37</v>
      </c>
      <c r="F693" s="34">
        <f>F694+F695+F696+F697+F698+F699</f>
        <v>90902.37</v>
      </c>
      <c r="G693" s="34" t="s">
        <v>446</v>
      </c>
      <c r="H693" s="34">
        <f>H694+H695+H696+H697+H698+H699</f>
        <v>90902.37</v>
      </c>
    </row>
    <row r="694" spans="1:8" ht="51" x14ac:dyDescent="0.25">
      <c r="A694" s="4"/>
      <c r="B694" s="5"/>
      <c r="C694" s="35" t="s">
        <v>26</v>
      </c>
      <c r="D694" s="33" t="s">
        <v>912</v>
      </c>
      <c r="E694" s="34">
        <v>0</v>
      </c>
      <c r="F694" s="34">
        <v>0</v>
      </c>
      <c r="G694" s="34" t="s">
        <v>18</v>
      </c>
      <c r="H694" s="34">
        <v>0</v>
      </c>
    </row>
    <row r="695" spans="1:8" ht="38.25" x14ac:dyDescent="0.25">
      <c r="A695" s="4"/>
      <c r="B695" s="5"/>
      <c r="C695" s="35" t="s">
        <v>28</v>
      </c>
      <c r="D695" s="33" t="s">
        <v>913</v>
      </c>
      <c r="E695" s="34">
        <v>96.79</v>
      </c>
      <c r="F695" s="34">
        <v>96.79</v>
      </c>
      <c r="G695" s="34" t="s">
        <v>446</v>
      </c>
      <c r="H695" s="34">
        <v>96.79</v>
      </c>
    </row>
    <row r="696" spans="1:8" ht="38.25" x14ac:dyDescent="0.25">
      <c r="A696" s="4"/>
      <c r="B696" s="5"/>
      <c r="C696" s="35" t="s">
        <v>30</v>
      </c>
      <c r="D696" s="33" t="s">
        <v>914</v>
      </c>
      <c r="E696" s="34">
        <v>16.579999999999998</v>
      </c>
      <c r="F696" s="34">
        <v>16.579999999999998</v>
      </c>
      <c r="G696" s="34" t="s">
        <v>915</v>
      </c>
      <c r="H696" s="34">
        <v>16.579999999999998</v>
      </c>
    </row>
    <row r="697" spans="1:8" ht="38.25" x14ac:dyDescent="0.25">
      <c r="A697" s="4"/>
      <c r="B697" s="5"/>
      <c r="C697" s="35" t="s">
        <v>87</v>
      </c>
      <c r="D697" s="33" t="s">
        <v>916</v>
      </c>
      <c r="E697" s="34">
        <v>789</v>
      </c>
      <c r="F697" s="34">
        <v>789</v>
      </c>
      <c r="G697" s="34" t="s">
        <v>915</v>
      </c>
      <c r="H697" s="34">
        <v>789</v>
      </c>
    </row>
    <row r="698" spans="1:8" ht="63.75" x14ac:dyDescent="0.25">
      <c r="A698" s="4"/>
      <c r="B698" s="5"/>
      <c r="C698" s="35" t="s">
        <v>89</v>
      </c>
      <c r="D698" s="33" t="s">
        <v>917</v>
      </c>
      <c r="E698" s="34">
        <v>0</v>
      </c>
      <c r="F698" s="34">
        <v>0</v>
      </c>
      <c r="G698" s="34" t="s">
        <v>18</v>
      </c>
      <c r="H698" s="34">
        <v>0</v>
      </c>
    </row>
    <row r="699" spans="1:8" ht="25.5" x14ac:dyDescent="0.25">
      <c r="A699" s="4"/>
      <c r="B699" s="5"/>
      <c r="C699" s="35" t="s">
        <v>98</v>
      </c>
      <c r="D699" s="33" t="s">
        <v>918</v>
      </c>
      <c r="E699" s="34">
        <v>90000</v>
      </c>
      <c r="F699" s="34">
        <v>90000</v>
      </c>
      <c r="G699" s="34" t="s">
        <v>915</v>
      </c>
      <c r="H699" s="34">
        <v>90000</v>
      </c>
    </row>
    <row r="700" spans="1:8" ht="38.25" x14ac:dyDescent="0.25">
      <c r="A700" s="4"/>
      <c r="B700" s="5"/>
      <c r="C700" s="30" t="s">
        <v>23</v>
      </c>
      <c r="D700" s="30" t="s">
        <v>919</v>
      </c>
      <c r="E700" s="31">
        <f>E701</f>
        <v>995</v>
      </c>
      <c r="F700" s="31">
        <f>F701</f>
        <v>995</v>
      </c>
      <c r="G700" s="31" t="s">
        <v>446</v>
      </c>
      <c r="H700" s="31">
        <f>H701</f>
        <v>995</v>
      </c>
    </row>
    <row r="701" spans="1:8" ht="51" x14ac:dyDescent="0.25">
      <c r="A701" s="4"/>
      <c r="B701" s="5"/>
      <c r="C701" s="33" t="s">
        <v>12</v>
      </c>
      <c r="D701" s="33" t="s">
        <v>920</v>
      </c>
      <c r="E701" s="34">
        <f>E702+E703+E704</f>
        <v>995</v>
      </c>
      <c r="F701" s="34">
        <f>F702+F703+F704</f>
        <v>995</v>
      </c>
      <c r="G701" s="34" t="s">
        <v>915</v>
      </c>
      <c r="H701" s="34">
        <f>H702+H703+H704</f>
        <v>995</v>
      </c>
    </row>
    <row r="702" spans="1:8" ht="25.5" x14ac:dyDescent="0.25">
      <c r="A702" s="4"/>
      <c r="B702" s="5"/>
      <c r="C702" s="35" t="s">
        <v>26</v>
      </c>
      <c r="D702" s="33" t="s">
        <v>921</v>
      </c>
      <c r="E702" s="34">
        <v>995</v>
      </c>
      <c r="F702" s="34">
        <v>995</v>
      </c>
      <c r="G702" s="34" t="s">
        <v>915</v>
      </c>
      <c r="H702" s="34">
        <v>995</v>
      </c>
    </row>
    <row r="703" spans="1:8" ht="51" x14ac:dyDescent="0.25">
      <c r="A703" s="4"/>
      <c r="B703" s="5"/>
      <c r="C703" s="35" t="s">
        <v>28</v>
      </c>
      <c r="D703" s="33" t="s">
        <v>922</v>
      </c>
      <c r="E703" s="34">
        <v>0</v>
      </c>
      <c r="F703" s="34">
        <v>0</v>
      </c>
      <c r="G703" s="34" t="s">
        <v>923</v>
      </c>
      <c r="H703" s="34">
        <v>0</v>
      </c>
    </row>
    <row r="704" spans="1:8" ht="51" x14ac:dyDescent="0.25">
      <c r="A704" s="4"/>
      <c r="B704" s="5"/>
      <c r="C704" s="35" t="s">
        <v>30</v>
      </c>
      <c r="D704" s="33" t="s">
        <v>924</v>
      </c>
      <c r="E704" s="34">
        <v>0</v>
      </c>
      <c r="F704" s="34">
        <v>0</v>
      </c>
      <c r="G704" s="34" t="s">
        <v>923</v>
      </c>
      <c r="H704" s="34">
        <v>0</v>
      </c>
    </row>
    <row r="705" spans="1:8" x14ac:dyDescent="0.25">
      <c r="A705" s="4"/>
      <c r="B705" s="5"/>
      <c r="C705" s="30" t="s">
        <v>63</v>
      </c>
      <c r="D705" s="30" t="s">
        <v>925</v>
      </c>
      <c r="E705" s="31">
        <f>E706</f>
        <v>612</v>
      </c>
      <c r="F705" s="31">
        <f>F706</f>
        <v>612</v>
      </c>
      <c r="G705" s="31" t="s">
        <v>915</v>
      </c>
      <c r="H705" s="31">
        <f>H706</f>
        <v>612</v>
      </c>
    </row>
    <row r="706" spans="1:8" ht="63.75" x14ac:dyDescent="0.25">
      <c r="A706" s="4"/>
      <c r="B706" s="5"/>
      <c r="C706" s="33" t="s">
        <v>12</v>
      </c>
      <c r="D706" s="33" t="s">
        <v>926</v>
      </c>
      <c r="E706" s="34">
        <f>E707</f>
        <v>612</v>
      </c>
      <c r="F706" s="34">
        <f>F707</f>
        <v>612</v>
      </c>
      <c r="G706" s="34" t="s">
        <v>915</v>
      </c>
      <c r="H706" s="34">
        <f>H707</f>
        <v>612</v>
      </c>
    </row>
    <row r="707" spans="1:8" ht="51" x14ac:dyDescent="0.25">
      <c r="A707" s="4"/>
      <c r="B707" s="5"/>
      <c r="C707" s="35" t="s">
        <v>26</v>
      </c>
      <c r="D707" s="33" t="s">
        <v>927</v>
      </c>
      <c r="E707" s="34">
        <v>612</v>
      </c>
      <c r="F707" s="34">
        <v>612</v>
      </c>
      <c r="G707" s="34" t="s">
        <v>915</v>
      </c>
      <c r="H707" s="34">
        <v>612</v>
      </c>
    </row>
    <row r="708" spans="1:8" ht="15.75" x14ac:dyDescent="0.25">
      <c r="A708" s="4"/>
      <c r="B708" s="5"/>
      <c r="C708" s="9" t="s">
        <v>90</v>
      </c>
      <c r="D708" s="9"/>
      <c r="E708" s="12">
        <f>E692+E700+E705</f>
        <v>92509.37</v>
      </c>
      <c r="F708" s="12">
        <f>F692+F700+F705</f>
        <v>92509.37</v>
      </c>
      <c r="G708" s="12" t="s">
        <v>915</v>
      </c>
      <c r="H708" s="12">
        <f>H692+H700+H705</f>
        <v>92509.37</v>
      </c>
    </row>
    <row r="709" spans="1:8" ht="38.25" customHeight="1" x14ac:dyDescent="0.25">
      <c r="A709" s="4">
        <v>12</v>
      </c>
      <c r="B709" s="5" t="s">
        <v>928</v>
      </c>
      <c r="C709" s="30" t="s">
        <v>10</v>
      </c>
      <c r="D709" s="30" t="s">
        <v>929</v>
      </c>
      <c r="E709" s="31">
        <f>E710+E729+E733+E737</f>
        <v>837693.01</v>
      </c>
      <c r="F709" s="31">
        <f>F710+F729+F733+F737</f>
        <v>817824.6100000001</v>
      </c>
      <c r="G709" s="31" t="s">
        <v>930</v>
      </c>
      <c r="H709" s="31">
        <f>H710+H729+H733+H737</f>
        <v>817824.6100000001</v>
      </c>
    </row>
    <row r="710" spans="1:8" ht="63.75" x14ac:dyDescent="0.25">
      <c r="A710" s="4"/>
      <c r="B710" s="5"/>
      <c r="C710" s="33" t="s">
        <v>12</v>
      </c>
      <c r="D710" s="33" t="s">
        <v>931</v>
      </c>
      <c r="E710" s="34">
        <f>SUM(E711:E728)</f>
        <v>73</v>
      </c>
      <c r="F710" s="34">
        <f>SUM(F711:F728)</f>
        <v>73</v>
      </c>
      <c r="G710" s="34" t="s">
        <v>446</v>
      </c>
      <c r="H710" s="34">
        <f>SUM(H711:H728)</f>
        <v>73</v>
      </c>
    </row>
    <row r="711" spans="1:8" ht="51" x14ac:dyDescent="0.25">
      <c r="A711" s="4"/>
      <c r="B711" s="5"/>
      <c r="C711" s="35" t="s">
        <v>26</v>
      </c>
      <c r="D711" s="33" t="s">
        <v>932</v>
      </c>
      <c r="E711" s="34">
        <f>0</f>
        <v>0</v>
      </c>
      <c r="F711" s="34">
        <f>0</f>
        <v>0</v>
      </c>
      <c r="G711" s="34" t="s">
        <v>933</v>
      </c>
      <c r="H711" s="34">
        <f>0</f>
        <v>0</v>
      </c>
    </row>
    <row r="712" spans="1:8" ht="51" x14ac:dyDescent="0.25">
      <c r="A712" s="4"/>
      <c r="B712" s="5"/>
      <c r="C712" s="35" t="s">
        <v>28</v>
      </c>
      <c r="D712" s="33" t="s">
        <v>934</v>
      </c>
      <c r="E712" s="34">
        <f>0</f>
        <v>0</v>
      </c>
      <c r="F712" s="34">
        <f>0</f>
        <v>0</v>
      </c>
      <c r="G712" s="34" t="s">
        <v>933</v>
      </c>
      <c r="H712" s="34">
        <f>0</f>
        <v>0</v>
      </c>
    </row>
    <row r="713" spans="1:8" ht="51" x14ac:dyDescent="0.25">
      <c r="A713" s="4"/>
      <c r="B713" s="5"/>
      <c r="C713" s="35" t="s">
        <v>30</v>
      </c>
      <c r="D713" s="33" t="s">
        <v>935</v>
      </c>
      <c r="E713" s="34">
        <f>0</f>
        <v>0</v>
      </c>
      <c r="F713" s="34">
        <f>0</f>
        <v>0</v>
      </c>
      <c r="G713" s="34" t="s">
        <v>933</v>
      </c>
      <c r="H713" s="34">
        <f>0</f>
        <v>0</v>
      </c>
    </row>
    <row r="714" spans="1:8" ht="51" x14ac:dyDescent="0.25">
      <c r="A714" s="4"/>
      <c r="B714" s="5"/>
      <c r="C714" s="35" t="s">
        <v>87</v>
      </c>
      <c r="D714" s="33" t="s">
        <v>936</v>
      </c>
      <c r="E714" s="34">
        <f>0</f>
        <v>0</v>
      </c>
      <c r="F714" s="34">
        <f>0</f>
        <v>0</v>
      </c>
      <c r="G714" s="34" t="s">
        <v>933</v>
      </c>
      <c r="H714" s="34">
        <f>0</f>
        <v>0</v>
      </c>
    </row>
    <row r="715" spans="1:8" ht="51" x14ac:dyDescent="0.25">
      <c r="A715" s="4"/>
      <c r="B715" s="5"/>
      <c r="C715" s="35" t="s">
        <v>89</v>
      </c>
      <c r="D715" s="33" t="s">
        <v>937</v>
      </c>
      <c r="E715" s="34">
        <f>0</f>
        <v>0</v>
      </c>
      <c r="F715" s="34">
        <f>0</f>
        <v>0</v>
      </c>
      <c r="G715" s="34" t="s">
        <v>933</v>
      </c>
      <c r="H715" s="34">
        <f>0</f>
        <v>0</v>
      </c>
    </row>
    <row r="716" spans="1:8" ht="76.5" x14ac:dyDescent="0.25">
      <c r="A716" s="4"/>
      <c r="B716" s="5"/>
      <c r="C716" s="35" t="s">
        <v>98</v>
      </c>
      <c r="D716" s="33" t="s">
        <v>938</v>
      </c>
      <c r="E716" s="34">
        <f>0</f>
        <v>0</v>
      </c>
      <c r="F716" s="34">
        <f>0</f>
        <v>0</v>
      </c>
      <c r="G716" s="34" t="s">
        <v>933</v>
      </c>
      <c r="H716" s="34">
        <f>0</f>
        <v>0</v>
      </c>
    </row>
    <row r="717" spans="1:8" ht="51" x14ac:dyDescent="0.25">
      <c r="A717" s="4"/>
      <c r="B717" s="5"/>
      <c r="C717" s="35" t="s">
        <v>100</v>
      </c>
      <c r="D717" s="33" t="s">
        <v>939</v>
      </c>
      <c r="E717" s="34">
        <f>0</f>
        <v>0</v>
      </c>
      <c r="F717" s="34">
        <f>0</f>
        <v>0</v>
      </c>
      <c r="G717" s="34" t="s">
        <v>933</v>
      </c>
      <c r="H717" s="34">
        <f>0</f>
        <v>0</v>
      </c>
    </row>
    <row r="718" spans="1:8" ht="76.5" x14ac:dyDescent="0.25">
      <c r="A718" s="4"/>
      <c r="B718" s="5"/>
      <c r="C718" s="35" t="s">
        <v>102</v>
      </c>
      <c r="D718" s="33" t="s">
        <v>940</v>
      </c>
      <c r="E718" s="34">
        <f>0</f>
        <v>0</v>
      </c>
      <c r="F718" s="34">
        <f>0</f>
        <v>0</v>
      </c>
      <c r="G718" s="34" t="s">
        <v>933</v>
      </c>
      <c r="H718" s="34">
        <f>0</f>
        <v>0</v>
      </c>
    </row>
    <row r="719" spans="1:8" ht="63.75" x14ac:dyDescent="0.25">
      <c r="A719" s="4"/>
      <c r="B719" s="5"/>
      <c r="C719" s="35" t="s">
        <v>104</v>
      </c>
      <c r="D719" s="33" t="s">
        <v>941</v>
      </c>
      <c r="E719" s="34">
        <f>0</f>
        <v>0</v>
      </c>
      <c r="F719" s="34">
        <f>0</f>
        <v>0</v>
      </c>
      <c r="G719" s="34" t="s">
        <v>933</v>
      </c>
      <c r="H719" s="34">
        <f>0</f>
        <v>0</v>
      </c>
    </row>
    <row r="720" spans="1:8" ht="51" x14ac:dyDescent="0.25">
      <c r="A720" s="4"/>
      <c r="B720" s="5"/>
      <c r="C720" s="35" t="s">
        <v>106</v>
      </c>
      <c r="D720" s="33" t="s">
        <v>942</v>
      </c>
      <c r="E720" s="34">
        <f>0</f>
        <v>0</v>
      </c>
      <c r="F720" s="34">
        <f>0</f>
        <v>0</v>
      </c>
      <c r="G720" s="34" t="s">
        <v>933</v>
      </c>
      <c r="H720" s="34">
        <f>0</f>
        <v>0</v>
      </c>
    </row>
    <row r="721" spans="1:8" ht="51" x14ac:dyDescent="0.25">
      <c r="A721" s="4"/>
      <c r="B721" s="5"/>
      <c r="C721" s="35" t="s">
        <v>108</v>
      </c>
      <c r="D721" s="33" t="s">
        <v>943</v>
      </c>
      <c r="E721" s="34">
        <f>0</f>
        <v>0</v>
      </c>
      <c r="F721" s="34">
        <f>0</f>
        <v>0</v>
      </c>
      <c r="G721" s="34" t="s">
        <v>933</v>
      </c>
      <c r="H721" s="34">
        <f>0</f>
        <v>0</v>
      </c>
    </row>
    <row r="722" spans="1:8" ht="63.75" x14ac:dyDescent="0.25">
      <c r="A722" s="4"/>
      <c r="B722" s="5"/>
      <c r="C722" s="35" t="s">
        <v>110</v>
      </c>
      <c r="D722" s="33" t="s">
        <v>944</v>
      </c>
      <c r="E722" s="34">
        <f>0</f>
        <v>0</v>
      </c>
      <c r="F722" s="34">
        <f>0</f>
        <v>0</v>
      </c>
      <c r="G722" s="34" t="s">
        <v>933</v>
      </c>
      <c r="H722" s="34">
        <f>0</f>
        <v>0</v>
      </c>
    </row>
    <row r="723" spans="1:8" ht="76.5" x14ac:dyDescent="0.25">
      <c r="A723" s="4"/>
      <c r="B723" s="5"/>
      <c r="C723" s="35" t="s">
        <v>112</v>
      </c>
      <c r="D723" s="33" t="s">
        <v>945</v>
      </c>
      <c r="E723" s="34">
        <f>0</f>
        <v>0</v>
      </c>
      <c r="F723" s="34">
        <f>0</f>
        <v>0</v>
      </c>
      <c r="G723" s="34" t="s">
        <v>933</v>
      </c>
      <c r="H723" s="34">
        <f>0</f>
        <v>0</v>
      </c>
    </row>
    <row r="724" spans="1:8" ht="51" x14ac:dyDescent="0.25">
      <c r="A724" s="4"/>
      <c r="B724" s="5"/>
      <c r="C724" s="35" t="s">
        <v>114</v>
      </c>
      <c r="D724" s="33" t="s">
        <v>946</v>
      </c>
      <c r="E724" s="34">
        <f>0</f>
        <v>0</v>
      </c>
      <c r="F724" s="34">
        <f>0</f>
        <v>0</v>
      </c>
      <c r="G724" s="34" t="s">
        <v>933</v>
      </c>
      <c r="H724" s="34">
        <f>0</f>
        <v>0</v>
      </c>
    </row>
    <row r="725" spans="1:8" ht="63.75" x14ac:dyDescent="0.25">
      <c r="A725" s="4"/>
      <c r="B725" s="5"/>
      <c r="C725" s="35" t="s">
        <v>116</v>
      </c>
      <c r="D725" s="33" t="s">
        <v>947</v>
      </c>
      <c r="E725" s="34">
        <f>0</f>
        <v>0</v>
      </c>
      <c r="F725" s="34">
        <f>0</f>
        <v>0</v>
      </c>
      <c r="G725" s="34" t="s">
        <v>933</v>
      </c>
      <c r="H725" s="34">
        <f>0</f>
        <v>0</v>
      </c>
    </row>
    <row r="726" spans="1:8" ht="76.5" x14ac:dyDescent="0.25">
      <c r="A726" s="4"/>
      <c r="B726" s="5"/>
      <c r="C726" s="35" t="s">
        <v>118</v>
      </c>
      <c r="D726" s="33" t="s">
        <v>948</v>
      </c>
      <c r="E726" s="34">
        <f>73</f>
        <v>73</v>
      </c>
      <c r="F726" s="34">
        <f>73</f>
        <v>73</v>
      </c>
      <c r="G726" s="34" t="s">
        <v>446</v>
      </c>
      <c r="H726" s="34">
        <f>73</f>
        <v>73</v>
      </c>
    </row>
    <row r="727" spans="1:8" ht="51" x14ac:dyDescent="0.25">
      <c r="A727" s="4"/>
      <c r="B727" s="5"/>
      <c r="C727" s="35" t="s">
        <v>120</v>
      </c>
      <c r="D727" s="33" t="s">
        <v>949</v>
      </c>
      <c r="E727" s="34">
        <f>0</f>
        <v>0</v>
      </c>
      <c r="F727" s="34">
        <f>0</f>
        <v>0</v>
      </c>
      <c r="G727" s="34" t="s">
        <v>933</v>
      </c>
      <c r="H727" s="34">
        <f>0</f>
        <v>0</v>
      </c>
    </row>
    <row r="728" spans="1:8" ht="51" x14ac:dyDescent="0.25">
      <c r="A728" s="4"/>
      <c r="B728" s="5"/>
      <c r="C728" s="35" t="s">
        <v>122</v>
      </c>
      <c r="D728" s="33" t="s">
        <v>950</v>
      </c>
      <c r="E728" s="34">
        <f>0</f>
        <v>0</v>
      </c>
      <c r="F728" s="34">
        <f>0</f>
        <v>0</v>
      </c>
      <c r="G728" s="34" t="s">
        <v>933</v>
      </c>
      <c r="H728" s="34">
        <f>0</f>
        <v>0</v>
      </c>
    </row>
    <row r="729" spans="1:8" ht="38.25" x14ac:dyDescent="0.25">
      <c r="A729" s="4"/>
      <c r="B729" s="5"/>
      <c r="C729" s="33" t="s">
        <v>14</v>
      </c>
      <c r="D729" s="33" t="s">
        <v>951</v>
      </c>
      <c r="E729" s="34">
        <f>E730+E731+E732</f>
        <v>42080</v>
      </c>
      <c r="F729" s="34">
        <f>F730+F731+F732</f>
        <v>42050</v>
      </c>
      <c r="G729" s="34" t="s">
        <v>558</v>
      </c>
      <c r="H729" s="34">
        <f>H730+H731+H732</f>
        <v>42050</v>
      </c>
    </row>
    <row r="730" spans="1:8" ht="153" x14ac:dyDescent="0.25">
      <c r="A730" s="4"/>
      <c r="B730" s="5"/>
      <c r="C730" s="35" t="s">
        <v>33</v>
      </c>
      <c r="D730" s="33" t="s">
        <v>952</v>
      </c>
      <c r="E730" s="34">
        <f>23250</f>
        <v>23250</v>
      </c>
      <c r="F730" s="34">
        <f>23220</f>
        <v>23220</v>
      </c>
      <c r="G730" s="34" t="s">
        <v>558</v>
      </c>
      <c r="H730" s="34">
        <f>23220</f>
        <v>23220</v>
      </c>
    </row>
    <row r="731" spans="1:8" ht="114.75" x14ac:dyDescent="0.25">
      <c r="A731" s="4"/>
      <c r="B731" s="5"/>
      <c r="C731" s="35" t="s">
        <v>35</v>
      </c>
      <c r="D731" s="33" t="s">
        <v>1220</v>
      </c>
      <c r="E731" s="34">
        <f>4105+14725</f>
        <v>18830</v>
      </c>
      <c r="F731" s="34">
        <f>4105+14725</f>
        <v>18830</v>
      </c>
      <c r="G731" s="34" t="s">
        <v>446</v>
      </c>
      <c r="H731" s="34">
        <f>4105+14725</f>
        <v>18830</v>
      </c>
    </row>
    <row r="732" spans="1:8" ht="89.25" x14ac:dyDescent="0.25">
      <c r="A732" s="4"/>
      <c r="B732" s="5"/>
      <c r="C732" s="35" t="s">
        <v>276</v>
      </c>
      <c r="D732" s="33" t="s">
        <v>953</v>
      </c>
      <c r="E732" s="34">
        <f>0</f>
        <v>0</v>
      </c>
      <c r="F732" s="34">
        <f>0</f>
        <v>0</v>
      </c>
      <c r="G732" s="34" t="s">
        <v>933</v>
      </c>
      <c r="H732" s="34">
        <f>0</f>
        <v>0</v>
      </c>
    </row>
    <row r="733" spans="1:8" ht="51" x14ac:dyDescent="0.25">
      <c r="A733" s="4"/>
      <c r="B733" s="5"/>
      <c r="C733" s="33" t="s">
        <v>16</v>
      </c>
      <c r="D733" s="33" t="s">
        <v>954</v>
      </c>
      <c r="E733" s="34">
        <f>E734+E735+E736</f>
        <v>43069</v>
      </c>
      <c r="F733" s="34">
        <f>F734+F735+F736</f>
        <v>32036</v>
      </c>
      <c r="G733" s="34" t="s">
        <v>955</v>
      </c>
      <c r="H733" s="34">
        <f>H734+H735+H736</f>
        <v>32036</v>
      </c>
    </row>
    <row r="734" spans="1:8" ht="114.75" x14ac:dyDescent="0.25">
      <c r="A734" s="4"/>
      <c r="B734" s="5"/>
      <c r="C734" s="35" t="s">
        <v>38</v>
      </c>
      <c r="D734" s="33" t="s">
        <v>956</v>
      </c>
      <c r="E734" s="34">
        <f>42643</f>
        <v>42643</v>
      </c>
      <c r="F734" s="34">
        <f>31891</f>
        <v>31891</v>
      </c>
      <c r="G734" s="34" t="s">
        <v>957</v>
      </c>
      <c r="H734" s="34">
        <f>31891</f>
        <v>31891</v>
      </c>
    </row>
    <row r="735" spans="1:8" ht="127.5" x14ac:dyDescent="0.25">
      <c r="A735" s="4"/>
      <c r="B735" s="5"/>
      <c r="C735" s="35" t="s">
        <v>40</v>
      </c>
      <c r="D735" s="33" t="s">
        <v>958</v>
      </c>
      <c r="E735" s="34">
        <f>0</f>
        <v>0</v>
      </c>
      <c r="F735" s="34">
        <f>0</f>
        <v>0</v>
      </c>
      <c r="G735" s="34" t="s">
        <v>933</v>
      </c>
      <c r="H735" s="34">
        <f>0</f>
        <v>0</v>
      </c>
    </row>
    <row r="736" spans="1:8" ht="102" x14ac:dyDescent="0.25">
      <c r="A736" s="4"/>
      <c r="B736" s="5"/>
      <c r="C736" s="35" t="s">
        <v>42</v>
      </c>
      <c r="D736" s="33" t="s">
        <v>959</v>
      </c>
      <c r="E736" s="34">
        <f>426</f>
        <v>426</v>
      </c>
      <c r="F736" s="34">
        <f>145</f>
        <v>145</v>
      </c>
      <c r="G736" s="34" t="s">
        <v>960</v>
      </c>
      <c r="H736" s="34">
        <f>145</f>
        <v>145</v>
      </c>
    </row>
    <row r="737" spans="1:8" ht="102" x14ac:dyDescent="0.25">
      <c r="A737" s="4"/>
      <c r="B737" s="5"/>
      <c r="C737" s="33" t="s">
        <v>19</v>
      </c>
      <c r="D737" s="33" t="s">
        <v>961</v>
      </c>
      <c r="E737" s="34">
        <f>E738+E741+E744+E745+E746+E747+E748+E749+E750+E751+E752+E753+E754+E755+E756+E757+E758+E759+E760+E761+E762</f>
        <v>752471.01</v>
      </c>
      <c r="F737" s="34">
        <f>F738+F741+F744+F745+F746+F747+F748+F749+F750+F751+F752+F753+F754+F755+F756+F757+F758+F759+F760+F761+F762</f>
        <v>743665.6100000001</v>
      </c>
      <c r="G737" s="34" t="s">
        <v>453</v>
      </c>
      <c r="H737" s="34">
        <f>H738+H741+H744+H745+H746+H747+H748+H749+H750+H751+H752+H753+H754+H755+H756+H757+H758+H759+H760+H761+H762</f>
        <v>743665.6100000001</v>
      </c>
    </row>
    <row r="738" spans="1:8" ht="204" x14ac:dyDescent="0.25">
      <c r="A738" s="4"/>
      <c r="B738" s="5"/>
      <c r="C738" s="35" t="s">
        <v>195</v>
      </c>
      <c r="D738" s="33" t="s">
        <v>962</v>
      </c>
      <c r="E738" s="34">
        <f>E739+E740</f>
        <v>624762.6</v>
      </c>
      <c r="F738" s="34">
        <f>F739+F740</f>
        <v>621814.6</v>
      </c>
      <c r="G738" s="34" t="s">
        <v>871</v>
      </c>
      <c r="H738" s="34">
        <f>H739+H740</f>
        <v>621814.6</v>
      </c>
    </row>
    <row r="739" spans="1:8" ht="38.25" x14ac:dyDescent="0.25">
      <c r="A739" s="4"/>
      <c r="B739" s="5"/>
      <c r="C739" s="35" t="s">
        <v>197</v>
      </c>
      <c r="D739" s="33" t="s">
        <v>963</v>
      </c>
      <c r="E739" s="34">
        <f>62256.6+552357</f>
        <v>614613.6</v>
      </c>
      <c r="F739" s="34">
        <f>62216.6+549781.47</f>
        <v>611998.06999999995</v>
      </c>
      <c r="G739" s="34" t="s">
        <v>444</v>
      </c>
      <c r="H739" s="34">
        <f>62216.6+549781.47</f>
        <v>611998.06999999995</v>
      </c>
    </row>
    <row r="740" spans="1:8" ht="38.25" x14ac:dyDescent="0.25">
      <c r="A740" s="4"/>
      <c r="B740" s="5"/>
      <c r="C740" s="35" t="s">
        <v>199</v>
      </c>
      <c r="D740" s="33" t="s">
        <v>964</v>
      </c>
      <c r="E740" s="34">
        <f>10149</f>
        <v>10149</v>
      </c>
      <c r="F740" s="34">
        <f>9816.53</f>
        <v>9816.5300000000007</v>
      </c>
      <c r="G740" s="34" t="s">
        <v>965</v>
      </c>
      <c r="H740" s="34">
        <f>9816.53</f>
        <v>9816.5300000000007</v>
      </c>
    </row>
    <row r="741" spans="1:8" ht="51" x14ac:dyDescent="0.25">
      <c r="A741" s="4"/>
      <c r="B741" s="5"/>
      <c r="C741" s="35" t="s">
        <v>284</v>
      </c>
      <c r="D741" s="33" t="s">
        <v>966</v>
      </c>
      <c r="E741" s="34">
        <f>E742+E743</f>
        <v>99825.12999999999</v>
      </c>
      <c r="F741" s="34">
        <f>F742+F743</f>
        <v>94447.94</v>
      </c>
      <c r="G741" s="34" t="s">
        <v>967</v>
      </c>
      <c r="H741" s="34">
        <f>H742+H743</f>
        <v>94447.94</v>
      </c>
    </row>
    <row r="742" spans="1:8" ht="51" x14ac:dyDescent="0.25">
      <c r="A742" s="4"/>
      <c r="B742" s="5"/>
      <c r="C742" s="35" t="s">
        <v>968</v>
      </c>
      <c r="D742" s="33" t="s">
        <v>969</v>
      </c>
      <c r="E742" s="34">
        <f>27392.76</f>
        <v>27392.76</v>
      </c>
      <c r="F742" s="34">
        <f>26243.53</f>
        <v>26243.53</v>
      </c>
      <c r="G742" s="34" t="s">
        <v>970</v>
      </c>
      <c r="H742" s="34">
        <f>26243.53</f>
        <v>26243.53</v>
      </c>
    </row>
    <row r="743" spans="1:8" ht="51" x14ac:dyDescent="0.25">
      <c r="A743" s="4"/>
      <c r="B743" s="5"/>
      <c r="C743" s="35" t="s">
        <v>971</v>
      </c>
      <c r="D743" s="33" t="s">
        <v>972</v>
      </c>
      <c r="E743" s="34">
        <f>72432.37</f>
        <v>72432.37</v>
      </c>
      <c r="F743" s="34">
        <f>68204.41</f>
        <v>68204.41</v>
      </c>
      <c r="G743" s="34" t="s">
        <v>973</v>
      </c>
      <c r="H743" s="34">
        <f>68204.41</f>
        <v>68204.41</v>
      </c>
    </row>
    <row r="744" spans="1:8" ht="76.5" x14ac:dyDescent="0.25">
      <c r="A744" s="4"/>
      <c r="B744" s="5"/>
      <c r="C744" s="35" t="s">
        <v>375</v>
      </c>
      <c r="D744" s="33" t="s">
        <v>974</v>
      </c>
      <c r="E744" s="34">
        <f>1000</f>
        <v>1000</v>
      </c>
      <c r="F744" s="34">
        <f>1000</f>
        <v>1000</v>
      </c>
      <c r="G744" s="34" t="s">
        <v>915</v>
      </c>
      <c r="H744" s="34">
        <f>1000</f>
        <v>1000</v>
      </c>
    </row>
    <row r="745" spans="1:8" ht="89.25" x14ac:dyDescent="0.25">
      <c r="A745" s="4"/>
      <c r="B745" s="5"/>
      <c r="C745" s="35" t="s">
        <v>509</v>
      </c>
      <c r="D745" s="33" t="s">
        <v>975</v>
      </c>
      <c r="E745" s="34">
        <f>100</f>
        <v>100</v>
      </c>
      <c r="F745" s="34">
        <f>100</f>
        <v>100</v>
      </c>
      <c r="G745" s="34" t="s">
        <v>446</v>
      </c>
      <c r="H745" s="34">
        <f>100</f>
        <v>100</v>
      </c>
    </row>
    <row r="746" spans="1:8" ht="38.25" x14ac:dyDescent="0.25">
      <c r="A746" s="4"/>
      <c r="B746" s="5"/>
      <c r="C746" s="35" t="s">
        <v>684</v>
      </c>
      <c r="D746" s="33" t="s">
        <v>976</v>
      </c>
      <c r="E746" s="34">
        <f>10207.02</f>
        <v>10207.02</v>
      </c>
      <c r="F746" s="34">
        <f>10207.02</f>
        <v>10207.02</v>
      </c>
      <c r="G746" s="34" t="s">
        <v>446</v>
      </c>
      <c r="H746" s="34">
        <f>10207.02</f>
        <v>10207.02</v>
      </c>
    </row>
    <row r="747" spans="1:8" ht="76.5" x14ac:dyDescent="0.25">
      <c r="A747" s="4"/>
      <c r="B747" s="5"/>
      <c r="C747" s="35" t="s">
        <v>686</v>
      </c>
      <c r="D747" s="33" t="s">
        <v>977</v>
      </c>
      <c r="E747" s="34">
        <f>0</f>
        <v>0</v>
      </c>
      <c r="F747" s="34">
        <f>0</f>
        <v>0</v>
      </c>
      <c r="G747" s="34" t="s">
        <v>933</v>
      </c>
      <c r="H747" s="34">
        <f>0</f>
        <v>0</v>
      </c>
    </row>
    <row r="748" spans="1:8" ht="63.75" x14ac:dyDescent="0.25">
      <c r="A748" s="4"/>
      <c r="B748" s="5"/>
      <c r="C748" s="35" t="s">
        <v>688</v>
      </c>
      <c r="D748" s="33" t="s">
        <v>978</v>
      </c>
      <c r="E748" s="34">
        <f>1430.16+1318</f>
        <v>2748.16</v>
      </c>
      <c r="F748" s="34">
        <f>1258.18+1318</f>
        <v>2576.1800000000003</v>
      </c>
      <c r="G748" s="34" t="s">
        <v>979</v>
      </c>
      <c r="H748" s="34">
        <f>1258.18+1318</f>
        <v>2576.1800000000003</v>
      </c>
    </row>
    <row r="749" spans="1:8" ht="51" x14ac:dyDescent="0.25">
      <c r="A749" s="4"/>
      <c r="B749" s="5"/>
      <c r="C749" s="35" t="s">
        <v>690</v>
      </c>
      <c r="D749" s="33" t="s">
        <v>980</v>
      </c>
      <c r="E749" s="34">
        <f>0</f>
        <v>0</v>
      </c>
      <c r="F749" s="34">
        <f>0</f>
        <v>0</v>
      </c>
      <c r="G749" s="34" t="s">
        <v>933</v>
      </c>
      <c r="H749" s="34">
        <f>0</f>
        <v>0</v>
      </c>
    </row>
    <row r="750" spans="1:8" ht="51" x14ac:dyDescent="0.25">
      <c r="A750" s="4"/>
      <c r="B750" s="5"/>
      <c r="C750" s="35" t="s">
        <v>692</v>
      </c>
      <c r="D750" s="33" t="s">
        <v>981</v>
      </c>
      <c r="E750" s="34">
        <f>0</f>
        <v>0</v>
      </c>
      <c r="F750" s="34">
        <f>0</f>
        <v>0</v>
      </c>
      <c r="G750" s="34" t="s">
        <v>933</v>
      </c>
      <c r="H750" s="34">
        <f>0</f>
        <v>0</v>
      </c>
    </row>
    <row r="751" spans="1:8" ht="51" x14ac:dyDescent="0.25">
      <c r="A751" s="4"/>
      <c r="B751" s="5"/>
      <c r="C751" s="35" t="s">
        <v>694</v>
      </c>
      <c r="D751" s="33" t="s">
        <v>982</v>
      </c>
      <c r="E751" s="34">
        <f>0</f>
        <v>0</v>
      </c>
      <c r="F751" s="34">
        <f>0</f>
        <v>0</v>
      </c>
      <c r="G751" s="34" t="s">
        <v>933</v>
      </c>
      <c r="H751" s="34">
        <f>0</f>
        <v>0</v>
      </c>
    </row>
    <row r="752" spans="1:8" ht="63.75" x14ac:dyDescent="0.25">
      <c r="A752" s="4"/>
      <c r="B752" s="5"/>
      <c r="C752" s="35" t="s">
        <v>696</v>
      </c>
      <c r="D752" s="33" t="s">
        <v>983</v>
      </c>
      <c r="E752" s="34">
        <f>0</f>
        <v>0</v>
      </c>
      <c r="F752" s="34">
        <f>0</f>
        <v>0</v>
      </c>
      <c r="G752" s="34" t="s">
        <v>933</v>
      </c>
      <c r="H752" s="34">
        <f>0</f>
        <v>0</v>
      </c>
    </row>
    <row r="753" spans="1:8" ht="51" x14ac:dyDescent="0.25">
      <c r="A753" s="4"/>
      <c r="B753" s="5"/>
      <c r="C753" s="35" t="s">
        <v>698</v>
      </c>
      <c r="D753" s="33" t="s">
        <v>984</v>
      </c>
      <c r="E753" s="34">
        <f>0</f>
        <v>0</v>
      </c>
      <c r="F753" s="34">
        <f>0</f>
        <v>0</v>
      </c>
      <c r="G753" s="34" t="s">
        <v>933</v>
      </c>
      <c r="H753" s="34">
        <f>0</f>
        <v>0</v>
      </c>
    </row>
    <row r="754" spans="1:8" ht="63.75" x14ac:dyDescent="0.25">
      <c r="A754" s="4"/>
      <c r="B754" s="5"/>
      <c r="C754" s="35" t="s">
        <v>700</v>
      </c>
      <c r="D754" s="33" t="s">
        <v>985</v>
      </c>
      <c r="E754" s="34">
        <f>0</f>
        <v>0</v>
      </c>
      <c r="F754" s="34">
        <f>0</f>
        <v>0</v>
      </c>
      <c r="G754" s="34" t="s">
        <v>933</v>
      </c>
      <c r="H754" s="34">
        <f>0</f>
        <v>0</v>
      </c>
    </row>
    <row r="755" spans="1:8" ht="51" x14ac:dyDescent="0.25">
      <c r="A755" s="4"/>
      <c r="B755" s="5"/>
      <c r="C755" s="35" t="s">
        <v>986</v>
      </c>
      <c r="D755" s="33" t="s">
        <v>987</v>
      </c>
      <c r="E755" s="34">
        <f>0</f>
        <v>0</v>
      </c>
      <c r="F755" s="34">
        <f>0</f>
        <v>0</v>
      </c>
      <c r="G755" s="34" t="s">
        <v>933</v>
      </c>
      <c r="H755" s="34">
        <f>0</f>
        <v>0</v>
      </c>
    </row>
    <row r="756" spans="1:8" ht="63.75" x14ac:dyDescent="0.25">
      <c r="A756" s="4"/>
      <c r="B756" s="5"/>
      <c r="C756" s="35" t="s">
        <v>988</v>
      </c>
      <c r="D756" s="33" t="s">
        <v>989</v>
      </c>
      <c r="E756" s="34">
        <f>2199.38</f>
        <v>2199.38</v>
      </c>
      <c r="F756" s="34">
        <f>2158.83</f>
        <v>2158.83</v>
      </c>
      <c r="G756" s="34" t="s">
        <v>990</v>
      </c>
      <c r="H756" s="34">
        <f>2158.83</f>
        <v>2158.83</v>
      </c>
    </row>
    <row r="757" spans="1:8" ht="51" x14ac:dyDescent="0.25">
      <c r="A757" s="4"/>
      <c r="B757" s="5"/>
      <c r="C757" s="35" t="s">
        <v>991</v>
      </c>
      <c r="D757" s="33" t="s">
        <v>992</v>
      </c>
      <c r="E757" s="34">
        <f>0</f>
        <v>0</v>
      </c>
      <c r="F757" s="34">
        <f>0</f>
        <v>0</v>
      </c>
      <c r="G757" s="34" t="s">
        <v>933</v>
      </c>
      <c r="H757" s="34">
        <f>0</f>
        <v>0</v>
      </c>
    </row>
    <row r="758" spans="1:8" ht="51" x14ac:dyDescent="0.25">
      <c r="A758" s="4"/>
      <c r="B758" s="5"/>
      <c r="C758" s="35" t="s">
        <v>993</v>
      </c>
      <c r="D758" s="33" t="s">
        <v>994</v>
      </c>
      <c r="E758" s="34">
        <f>0</f>
        <v>0</v>
      </c>
      <c r="F758" s="34">
        <f>0</f>
        <v>0</v>
      </c>
      <c r="G758" s="34" t="s">
        <v>933</v>
      </c>
      <c r="H758" s="34">
        <f>0</f>
        <v>0</v>
      </c>
    </row>
    <row r="759" spans="1:8" ht="51" x14ac:dyDescent="0.25">
      <c r="A759" s="4"/>
      <c r="B759" s="5"/>
      <c r="C759" s="35" t="s">
        <v>995</v>
      </c>
      <c r="D759" s="33" t="s">
        <v>982</v>
      </c>
      <c r="E759" s="34">
        <f>0</f>
        <v>0</v>
      </c>
      <c r="F759" s="34">
        <f>0</f>
        <v>0</v>
      </c>
      <c r="G759" s="34" t="s">
        <v>933</v>
      </c>
      <c r="H759" s="34">
        <f>0</f>
        <v>0</v>
      </c>
    </row>
    <row r="760" spans="1:8" ht="38.25" x14ac:dyDescent="0.25">
      <c r="A760" s="4"/>
      <c r="B760" s="5"/>
      <c r="C760" s="35" t="s">
        <v>996</v>
      </c>
      <c r="D760" s="33" t="s">
        <v>997</v>
      </c>
      <c r="E760" s="34">
        <f>3922.72</f>
        <v>3922.72</v>
      </c>
      <c r="F760" s="34">
        <f>3655.04</f>
        <v>3655.04</v>
      </c>
      <c r="G760" s="34" t="s">
        <v>998</v>
      </c>
      <c r="H760" s="34">
        <f>3655.04</f>
        <v>3655.04</v>
      </c>
    </row>
    <row r="761" spans="1:8" ht="89.25" x14ac:dyDescent="0.25">
      <c r="A761" s="4"/>
      <c r="B761" s="5"/>
      <c r="C761" s="35" t="s">
        <v>999</v>
      </c>
      <c r="D761" s="33" t="s">
        <v>1000</v>
      </c>
      <c r="E761" s="34">
        <f>1800</f>
        <v>1800</v>
      </c>
      <c r="F761" s="34">
        <f>1800</f>
        <v>1800</v>
      </c>
      <c r="G761" s="34" t="s">
        <v>915</v>
      </c>
      <c r="H761" s="34">
        <f>1800</f>
        <v>1800</v>
      </c>
    </row>
    <row r="762" spans="1:8" ht="63.75" x14ac:dyDescent="0.25">
      <c r="A762" s="4"/>
      <c r="B762" s="5"/>
      <c r="C762" s="35" t="s">
        <v>1001</v>
      </c>
      <c r="D762" s="33" t="s">
        <v>1002</v>
      </c>
      <c r="E762" s="34">
        <f>5906</f>
        <v>5906</v>
      </c>
      <c r="F762" s="34">
        <f>5906</f>
        <v>5906</v>
      </c>
      <c r="G762" s="34" t="s">
        <v>915</v>
      </c>
      <c r="H762" s="34">
        <f>5906</f>
        <v>5906</v>
      </c>
    </row>
    <row r="763" spans="1:8" ht="38.25" x14ac:dyDescent="0.25">
      <c r="A763" s="4"/>
      <c r="B763" s="5"/>
      <c r="C763" s="30" t="s">
        <v>23</v>
      </c>
      <c r="D763" s="30" t="s">
        <v>1003</v>
      </c>
      <c r="E763" s="31">
        <f>E764+E765+E787+E801+E808+E809+E818+E825</f>
        <v>750643.76</v>
      </c>
      <c r="F763" s="31">
        <f>F764+F765+F787+F801+F808+F809+F818+F825</f>
        <v>711758.59000000008</v>
      </c>
      <c r="G763" s="31" t="s">
        <v>1004</v>
      </c>
      <c r="H763" s="31">
        <f>H764+H765+H787+H801+H808+H809+H818+H825</f>
        <v>711758.59000000008</v>
      </c>
    </row>
    <row r="764" spans="1:8" ht="114.75" x14ac:dyDescent="0.25">
      <c r="A764" s="4"/>
      <c r="B764" s="5"/>
      <c r="C764" s="33" t="s">
        <v>12</v>
      </c>
      <c r="D764" s="33" t="s">
        <v>1005</v>
      </c>
      <c r="E764" s="34">
        <f>0</f>
        <v>0</v>
      </c>
      <c r="F764" s="34">
        <f>0</f>
        <v>0</v>
      </c>
      <c r="G764" s="34" t="s">
        <v>933</v>
      </c>
      <c r="H764" s="34">
        <f>0</f>
        <v>0</v>
      </c>
    </row>
    <row r="765" spans="1:8" ht="267.75" x14ac:dyDescent="0.25">
      <c r="A765" s="4"/>
      <c r="B765" s="5"/>
      <c r="C765" s="33" t="s">
        <v>14</v>
      </c>
      <c r="D765" s="33" t="s">
        <v>1006</v>
      </c>
      <c r="E765" s="34">
        <f>E766+E771+E772+E773+E774+E775+E776+E777+E778+E779+E781+E780+E782+E783+E784+E785+E786</f>
        <v>688700.94000000006</v>
      </c>
      <c r="F765" s="34">
        <f>F766+F771+F772+F773+F774+F775+F776+F777+F779+F780+F778+F781+F782+F783+F784+F785+F786</f>
        <v>650728.93000000005</v>
      </c>
      <c r="G765" s="34" t="s">
        <v>1007</v>
      </c>
      <c r="H765" s="34">
        <f>H766+H771+H772+H773+H774+H775+H776+H777+H779+H780+H778+H781+H782+H783+H784+H785+H786</f>
        <v>650728.93000000005</v>
      </c>
    </row>
    <row r="766" spans="1:8" ht="267.75" x14ac:dyDescent="0.25">
      <c r="A766" s="4"/>
      <c r="B766" s="5"/>
      <c r="C766" s="35" t="s">
        <v>33</v>
      </c>
      <c r="D766" s="33" t="s">
        <v>1006</v>
      </c>
      <c r="E766" s="34">
        <f>E767+E768+E769+E770</f>
        <v>606098.43000000005</v>
      </c>
      <c r="F766" s="34">
        <f>F767+F768+F769+F770</f>
        <v>572554.30999999994</v>
      </c>
      <c r="G766" s="34" t="s">
        <v>1007</v>
      </c>
      <c r="H766" s="34">
        <f>H767+H768+H769+H770</f>
        <v>572554.30999999994</v>
      </c>
    </row>
    <row r="767" spans="1:8" ht="51" x14ac:dyDescent="0.25">
      <c r="A767" s="4"/>
      <c r="B767" s="5"/>
      <c r="C767" s="35" t="s">
        <v>184</v>
      </c>
      <c r="D767" s="33" t="s">
        <v>1008</v>
      </c>
      <c r="E767" s="34">
        <f>4936.43+572610</f>
        <v>577546.43000000005</v>
      </c>
      <c r="F767" s="34">
        <f>4812.44+540584.08</f>
        <v>545396.5199999999</v>
      </c>
      <c r="G767" s="34" t="s">
        <v>1009</v>
      </c>
      <c r="H767" s="34">
        <f>4812.44+540584.08</f>
        <v>545396.5199999999</v>
      </c>
    </row>
    <row r="768" spans="1:8" ht="38.25" x14ac:dyDescent="0.25">
      <c r="A768" s="4"/>
      <c r="B768" s="5"/>
      <c r="C768" s="35" t="s">
        <v>186</v>
      </c>
      <c r="D768" s="33" t="s">
        <v>964</v>
      </c>
      <c r="E768" s="34">
        <f>21588</f>
        <v>21588</v>
      </c>
      <c r="F768" s="34">
        <f>21545.53</f>
        <v>21545.53</v>
      </c>
      <c r="G768" s="34" t="s">
        <v>1010</v>
      </c>
      <c r="H768" s="34">
        <f>21545.53</f>
        <v>21545.53</v>
      </c>
    </row>
    <row r="769" spans="1:8" ht="25.5" x14ac:dyDescent="0.25">
      <c r="A769" s="4"/>
      <c r="B769" s="5"/>
      <c r="C769" s="35" t="s">
        <v>1011</v>
      </c>
      <c r="D769" s="33" t="s">
        <v>1012</v>
      </c>
      <c r="E769" s="34">
        <f>6472</f>
        <v>6472</v>
      </c>
      <c r="F769" s="34">
        <f>5489.66</f>
        <v>5489.66</v>
      </c>
      <c r="G769" s="34" t="s">
        <v>1013</v>
      </c>
      <c r="H769" s="34">
        <f>5489.66</f>
        <v>5489.66</v>
      </c>
    </row>
    <row r="770" spans="1:8" ht="140.25" x14ac:dyDescent="0.25">
      <c r="A770" s="4"/>
      <c r="B770" s="5"/>
      <c r="C770" s="35" t="s">
        <v>1014</v>
      </c>
      <c r="D770" s="33" t="s">
        <v>1015</v>
      </c>
      <c r="E770" s="34">
        <f>492</f>
        <v>492</v>
      </c>
      <c r="F770" s="34">
        <f>122.6</f>
        <v>122.6</v>
      </c>
      <c r="G770" s="34" t="s">
        <v>1016</v>
      </c>
      <c r="H770" s="34">
        <f>122.6</f>
        <v>122.6</v>
      </c>
    </row>
    <row r="771" spans="1:8" ht="51" x14ac:dyDescent="0.25">
      <c r="A771" s="4"/>
      <c r="B771" s="5"/>
      <c r="C771" s="35" t="s">
        <v>35</v>
      </c>
      <c r="D771" s="33" t="s">
        <v>1017</v>
      </c>
      <c r="E771" s="34">
        <f>36985.36</f>
        <v>36985.360000000001</v>
      </c>
      <c r="F771" s="34">
        <f>34530.49</f>
        <v>34530.49</v>
      </c>
      <c r="G771" s="34" t="s">
        <v>1018</v>
      </c>
      <c r="H771" s="34">
        <f>34530.49</f>
        <v>34530.49</v>
      </c>
    </row>
    <row r="772" spans="1:8" ht="51" x14ac:dyDescent="0.25">
      <c r="A772" s="4"/>
      <c r="B772" s="5"/>
      <c r="C772" s="35" t="s">
        <v>276</v>
      </c>
      <c r="D772" s="33" t="s">
        <v>1019</v>
      </c>
      <c r="E772" s="34">
        <f>23758.03</f>
        <v>23758.03</v>
      </c>
      <c r="F772" s="34">
        <f>23517.08</f>
        <v>23517.08</v>
      </c>
      <c r="G772" s="34" t="s">
        <v>446</v>
      </c>
      <c r="H772" s="34">
        <f>23517.08</f>
        <v>23517.08</v>
      </c>
    </row>
    <row r="773" spans="1:8" ht="89.25" x14ac:dyDescent="0.25">
      <c r="A773" s="4"/>
      <c r="B773" s="5"/>
      <c r="C773" s="35" t="s">
        <v>278</v>
      </c>
      <c r="D773" s="33" t="s">
        <v>1020</v>
      </c>
      <c r="E773" s="34">
        <f>5118.72</f>
        <v>5118.72</v>
      </c>
      <c r="F773" s="34">
        <f>4358.55</f>
        <v>4358.55</v>
      </c>
      <c r="G773" s="34" t="s">
        <v>1021</v>
      </c>
      <c r="H773" s="34">
        <f>4358.55</f>
        <v>4358.55</v>
      </c>
    </row>
    <row r="774" spans="1:8" ht="51" x14ac:dyDescent="0.25">
      <c r="A774" s="4"/>
      <c r="B774" s="5"/>
      <c r="C774" s="35" t="s">
        <v>458</v>
      </c>
      <c r="D774" s="33" t="s">
        <v>1022</v>
      </c>
      <c r="E774" s="34">
        <f>0</f>
        <v>0</v>
      </c>
      <c r="F774" s="34">
        <f>0</f>
        <v>0</v>
      </c>
      <c r="G774" s="34" t="s">
        <v>933</v>
      </c>
      <c r="H774" s="34">
        <f>0</f>
        <v>0</v>
      </c>
    </row>
    <row r="775" spans="1:8" ht="51" x14ac:dyDescent="0.25">
      <c r="A775" s="4"/>
      <c r="B775" s="5"/>
      <c r="C775" s="35" t="s">
        <v>460</v>
      </c>
      <c r="D775" s="33" t="s">
        <v>1023</v>
      </c>
      <c r="E775" s="34">
        <f>0</f>
        <v>0</v>
      </c>
      <c r="F775" s="34">
        <f>0</f>
        <v>0</v>
      </c>
      <c r="G775" s="34" t="s">
        <v>933</v>
      </c>
      <c r="H775" s="34">
        <f>0</f>
        <v>0</v>
      </c>
    </row>
    <row r="776" spans="1:8" ht="63.75" x14ac:dyDescent="0.25">
      <c r="A776" s="4"/>
      <c r="B776" s="5"/>
      <c r="C776" s="35" t="s">
        <v>462</v>
      </c>
      <c r="D776" s="33" t="s">
        <v>1024</v>
      </c>
      <c r="E776" s="34">
        <f>1818</f>
        <v>1818</v>
      </c>
      <c r="F776" s="34">
        <f>1771.02</f>
        <v>1771.02</v>
      </c>
      <c r="G776" s="34" t="s">
        <v>1025</v>
      </c>
      <c r="H776" s="34">
        <f>1771.02</f>
        <v>1771.02</v>
      </c>
    </row>
    <row r="777" spans="1:8" ht="51" x14ac:dyDescent="0.25">
      <c r="A777" s="4"/>
      <c r="B777" s="5"/>
      <c r="C777" s="35" t="s">
        <v>568</v>
      </c>
      <c r="D777" s="33" t="s">
        <v>1026</v>
      </c>
      <c r="E777" s="34">
        <f>0</f>
        <v>0</v>
      </c>
      <c r="F777" s="34">
        <f>0</f>
        <v>0</v>
      </c>
      <c r="G777" s="34" t="s">
        <v>933</v>
      </c>
      <c r="H777" s="34">
        <f>0</f>
        <v>0</v>
      </c>
    </row>
    <row r="778" spans="1:8" ht="38.25" x14ac:dyDescent="0.25">
      <c r="A778" s="4"/>
      <c r="B778" s="5"/>
      <c r="C778" s="35" t="s">
        <v>570</v>
      </c>
      <c r="D778" s="33" t="s">
        <v>1027</v>
      </c>
      <c r="E778" s="34">
        <f>200</f>
        <v>200</v>
      </c>
      <c r="F778" s="34">
        <f>199.81</f>
        <v>199.81</v>
      </c>
      <c r="G778" s="34" t="s">
        <v>558</v>
      </c>
      <c r="H778" s="34">
        <f>199.81</f>
        <v>199.81</v>
      </c>
    </row>
    <row r="779" spans="1:8" ht="38.25" x14ac:dyDescent="0.25">
      <c r="A779" s="4"/>
      <c r="B779" s="5"/>
      <c r="C779" s="35" t="s">
        <v>572</v>
      </c>
      <c r="D779" s="33" t="s">
        <v>1028</v>
      </c>
      <c r="E779" s="34">
        <f>2125.4+2562</f>
        <v>4687.3999999999996</v>
      </c>
      <c r="F779" s="34">
        <f>2094.14+2562</f>
        <v>4656.1399999999994</v>
      </c>
      <c r="G779" s="34" t="s">
        <v>440</v>
      </c>
      <c r="H779" s="34">
        <f>2094.14+2562</f>
        <v>4656.1399999999994</v>
      </c>
    </row>
    <row r="780" spans="1:8" ht="51" x14ac:dyDescent="0.25">
      <c r="A780" s="4"/>
      <c r="B780" s="5"/>
      <c r="C780" s="35" t="s">
        <v>574</v>
      </c>
      <c r="D780" s="33" t="s">
        <v>1029</v>
      </c>
      <c r="E780" s="34">
        <f>0</f>
        <v>0</v>
      </c>
      <c r="F780" s="34">
        <f>0</f>
        <v>0</v>
      </c>
      <c r="G780" s="34" t="s">
        <v>933</v>
      </c>
      <c r="H780" s="34">
        <f>0</f>
        <v>0</v>
      </c>
    </row>
    <row r="781" spans="1:8" ht="51" x14ac:dyDescent="0.25">
      <c r="A781" s="4"/>
      <c r="B781" s="5"/>
      <c r="C781" s="35" t="s">
        <v>576</v>
      </c>
      <c r="D781" s="33" t="s">
        <v>1030</v>
      </c>
      <c r="E781" s="34">
        <f>0</f>
        <v>0</v>
      </c>
      <c r="F781" s="34">
        <f>0</f>
        <v>0</v>
      </c>
      <c r="G781" s="34" t="s">
        <v>933</v>
      </c>
      <c r="H781" s="34">
        <f>0</f>
        <v>0</v>
      </c>
    </row>
    <row r="782" spans="1:8" ht="51" x14ac:dyDescent="0.25">
      <c r="A782" s="4"/>
      <c r="B782" s="5"/>
      <c r="C782" s="35" t="s">
        <v>578</v>
      </c>
      <c r="D782" s="33" t="s">
        <v>994</v>
      </c>
      <c r="E782" s="34">
        <f>0</f>
        <v>0</v>
      </c>
      <c r="F782" s="34">
        <f>0</f>
        <v>0</v>
      </c>
      <c r="G782" s="34" t="s">
        <v>933</v>
      </c>
      <c r="H782" s="34">
        <f>0</f>
        <v>0</v>
      </c>
    </row>
    <row r="783" spans="1:8" ht="229.5" x14ac:dyDescent="0.25">
      <c r="A783" s="4"/>
      <c r="B783" s="5"/>
      <c r="C783" s="35" t="s">
        <v>580</v>
      </c>
      <c r="D783" s="33" t="s">
        <v>1031</v>
      </c>
      <c r="E783" s="34">
        <f>6218</f>
        <v>6218</v>
      </c>
      <c r="F783" s="34">
        <f>5336.11</f>
        <v>5336.11</v>
      </c>
      <c r="G783" s="34" t="s">
        <v>1032</v>
      </c>
      <c r="H783" s="34">
        <f>5336.11</f>
        <v>5336.11</v>
      </c>
    </row>
    <row r="784" spans="1:8" ht="51" x14ac:dyDescent="0.25">
      <c r="A784" s="4"/>
      <c r="B784" s="5"/>
      <c r="C784" s="35" t="s">
        <v>582</v>
      </c>
      <c r="D784" s="33" t="s">
        <v>1033</v>
      </c>
      <c r="E784" s="34">
        <f>3576</f>
        <v>3576</v>
      </c>
      <c r="F784" s="34">
        <f>3567.42</f>
        <v>3567.42</v>
      </c>
      <c r="G784" s="34" t="s">
        <v>1010</v>
      </c>
      <c r="H784" s="34">
        <f>3567.42</f>
        <v>3567.42</v>
      </c>
    </row>
    <row r="785" spans="1:8" ht="38.25" x14ac:dyDescent="0.25">
      <c r="A785" s="4"/>
      <c r="B785" s="5"/>
      <c r="C785" s="35" t="s">
        <v>584</v>
      </c>
      <c r="D785" s="33" t="s">
        <v>1029</v>
      </c>
      <c r="E785" s="34">
        <f>238</f>
        <v>238</v>
      </c>
      <c r="F785" s="34">
        <f>238</f>
        <v>238</v>
      </c>
      <c r="G785" s="34" t="s">
        <v>1034</v>
      </c>
      <c r="H785" s="34">
        <f>238</f>
        <v>238</v>
      </c>
    </row>
    <row r="786" spans="1:8" ht="63.75" x14ac:dyDescent="0.25">
      <c r="A786" s="4"/>
      <c r="B786" s="5"/>
      <c r="C786" s="35" t="s">
        <v>586</v>
      </c>
      <c r="D786" s="33" t="s">
        <v>1035</v>
      </c>
      <c r="E786" s="34">
        <f>3</f>
        <v>3</v>
      </c>
      <c r="F786" s="34">
        <f>0</f>
        <v>0</v>
      </c>
      <c r="G786" s="34" t="s">
        <v>1036</v>
      </c>
      <c r="H786" s="34">
        <f>0</f>
        <v>0</v>
      </c>
    </row>
    <row r="787" spans="1:8" ht="51" x14ac:dyDescent="0.25">
      <c r="A787" s="4"/>
      <c r="B787" s="5"/>
      <c r="C787" s="33" t="s">
        <v>16</v>
      </c>
      <c r="D787" s="33" t="s">
        <v>1037</v>
      </c>
      <c r="E787" s="34">
        <f>SUM(E788:E800)</f>
        <v>0</v>
      </c>
      <c r="F787" s="34">
        <f>0</f>
        <v>0</v>
      </c>
      <c r="G787" s="34" t="s">
        <v>933</v>
      </c>
      <c r="H787" s="34">
        <f>0</f>
        <v>0</v>
      </c>
    </row>
    <row r="788" spans="1:8" ht="89.25" x14ac:dyDescent="0.25">
      <c r="A788" s="4"/>
      <c r="B788" s="5"/>
      <c r="C788" s="35" t="s">
        <v>38</v>
      </c>
      <c r="D788" s="33" t="s">
        <v>1038</v>
      </c>
      <c r="E788" s="34">
        <f>0</f>
        <v>0</v>
      </c>
      <c r="F788" s="34">
        <f>0</f>
        <v>0</v>
      </c>
      <c r="G788" s="34" t="s">
        <v>933</v>
      </c>
      <c r="H788" s="34">
        <f>0</f>
        <v>0</v>
      </c>
    </row>
    <row r="789" spans="1:8" ht="89.25" x14ac:dyDescent="0.25">
      <c r="A789" s="4"/>
      <c r="B789" s="5"/>
      <c r="C789" s="35" t="s">
        <v>40</v>
      </c>
      <c r="D789" s="33" t="s">
        <v>1039</v>
      </c>
      <c r="E789" s="34">
        <f>0</f>
        <v>0</v>
      </c>
      <c r="F789" s="34">
        <f>0</f>
        <v>0</v>
      </c>
      <c r="G789" s="34" t="s">
        <v>933</v>
      </c>
      <c r="H789" s="34">
        <f>0</f>
        <v>0</v>
      </c>
    </row>
    <row r="790" spans="1:8" ht="51" x14ac:dyDescent="0.25">
      <c r="A790" s="4"/>
      <c r="B790" s="5"/>
      <c r="C790" s="35" t="s">
        <v>42</v>
      </c>
      <c r="D790" s="33" t="s">
        <v>1040</v>
      </c>
      <c r="E790" s="34">
        <f>0</f>
        <v>0</v>
      </c>
      <c r="F790" s="34">
        <f>0</f>
        <v>0</v>
      </c>
      <c r="G790" s="34" t="s">
        <v>933</v>
      </c>
      <c r="H790" s="34">
        <f>0</f>
        <v>0</v>
      </c>
    </row>
    <row r="791" spans="1:8" ht="63.75" x14ac:dyDescent="0.25">
      <c r="A791" s="4"/>
      <c r="B791" s="5"/>
      <c r="C791" s="35" t="s">
        <v>344</v>
      </c>
      <c r="D791" s="33" t="s">
        <v>1041</v>
      </c>
      <c r="E791" s="34">
        <f>0</f>
        <v>0</v>
      </c>
      <c r="F791" s="34">
        <f>0</f>
        <v>0</v>
      </c>
      <c r="G791" s="34" t="s">
        <v>933</v>
      </c>
      <c r="H791" s="34">
        <f>0</f>
        <v>0</v>
      </c>
    </row>
    <row r="792" spans="1:8" ht="89.25" x14ac:dyDescent="0.25">
      <c r="A792" s="4"/>
      <c r="B792" s="5"/>
      <c r="C792" s="35" t="s">
        <v>649</v>
      </c>
      <c r="D792" s="33" t="s">
        <v>1042</v>
      </c>
      <c r="E792" s="34">
        <f>0</f>
        <v>0</v>
      </c>
      <c r="F792" s="34">
        <f>0</f>
        <v>0</v>
      </c>
      <c r="G792" s="34" t="s">
        <v>933</v>
      </c>
      <c r="H792" s="34">
        <f>0</f>
        <v>0</v>
      </c>
    </row>
    <row r="793" spans="1:8" ht="102" x14ac:dyDescent="0.25">
      <c r="A793" s="4"/>
      <c r="B793" s="5"/>
      <c r="C793" s="35" t="s">
        <v>651</v>
      </c>
      <c r="D793" s="33" t="s">
        <v>1043</v>
      </c>
      <c r="E793" s="34">
        <f>0</f>
        <v>0</v>
      </c>
      <c r="F793" s="34">
        <f>0</f>
        <v>0</v>
      </c>
      <c r="G793" s="34" t="s">
        <v>933</v>
      </c>
      <c r="H793" s="34">
        <f>0</f>
        <v>0</v>
      </c>
    </row>
    <row r="794" spans="1:8" ht="76.5" x14ac:dyDescent="0.25">
      <c r="A794" s="4"/>
      <c r="B794" s="5"/>
      <c r="C794" s="35" t="s">
        <v>653</v>
      </c>
      <c r="D794" s="33" t="s">
        <v>1044</v>
      </c>
      <c r="E794" s="34">
        <f>0</f>
        <v>0</v>
      </c>
      <c r="F794" s="34">
        <f>0</f>
        <v>0</v>
      </c>
      <c r="G794" s="34" t="s">
        <v>933</v>
      </c>
      <c r="H794" s="34">
        <f>0</f>
        <v>0</v>
      </c>
    </row>
    <row r="795" spans="1:8" ht="63.75" x14ac:dyDescent="0.25">
      <c r="A795" s="4"/>
      <c r="B795" s="5"/>
      <c r="C795" s="35" t="s">
        <v>655</v>
      </c>
      <c r="D795" s="33" t="s">
        <v>1045</v>
      </c>
      <c r="E795" s="34">
        <f>0</f>
        <v>0</v>
      </c>
      <c r="F795" s="34">
        <f>0</f>
        <v>0</v>
      </c>
      <c r="G795" s="34" t="s">
        <v>933</v>
      </c>
      <c r="H795" s="34">
        <f>0</f>
        <v>0</v>
      </c>
    </row>
    <row r="796" spans="1:8" ht="76.5" x14ac:dyDescent="0.25">
      <c r="A796" s="4"/>
      <c r="B796" s="5"/>
      <c r="C796" s="35" t="s">
        <v>657</v>
      </c>
      <c r="D796" s="33" t="s">
        <v>1046</v>
      </c>
      <c r="E796" s="34">
        <f>0</f>
        <v>0</v>
      </c>
      <c r="F796" s="34">
        <f>0</f>
        <v>0</v>
      </c>
      <c r="G796" s="34" t="s">
        <v>933</v>
      </c>
      <c r="H796" s="34">
        <f>0</f>
        <v>0</v>
      </c>
    </row>
    <row r="797" spans="1:8" ht="89.25" x14ac:dyDescent="0.25">
      <c r="A797" s="4"/>
      <c r="B797" s="5"/>
      <c r="C797" s="35" t="s">
        <v>659</v>
      </c>
      <c r="D797" s="33" t="s">
        <v>1047</v>
      </c>
      <c r="E797" s="34">
        <f>0</f>
        <v>0</v>
      </c>
      <c r="F797" s="34">
        <f>0</f>
        <v>0</v>
      </c>
      <c r="G797" s="34" t="s">
        <v>933</v>
      </c>
      <c r="H797" s="34">
        <f>0</f>
        <v>0</v>
      </c>
    </row>
    <row r="798" spans="1:8" ht="89.25" x14ac:dyDescent="0.25">
      <c r="A798" s="4"/>
      <c r="B798" s="5"/>
      <c r="C798" s="35" t="s">
        <v>661</v>
      </c>
      <c r="D798" s="33" t="s">
        <v>1048</v>
      </c>
      <c r="E798" s="34">
        <f>0</f>
        <v>0</v>
      </c>
      <c r="F798" s="34">
        <f>0</f>
        <v>0</v>
      </c>
      <c r="G798" s="34" t="s">
        <v>933</v>
      </c>
      <c r="H798" s="34">
        <f>0</f>
        <v>0</v>
      </c>
    </row>
    <row r="799" spans="1:8" ht="51" x14ac:dyDescent="0.25">
      <c r="A799" s="4"/>
      <c r="B799" s="5"/>
      <c r="C799" s="35" t="s">
        <v>663</v>
      </c>
      <c r="D799" s="33" t="s">
        <v>1049</v>
      </c>
      <c r="E799" s="34">
        <f>0</f>
        <v>0</v>
      </c>
      <c r="F799" s="34">
        <f>0</f>
        <v>0</v>
      </c>
      <c r="G799" s="34" t="s">
        <v>933</v>
      </c>
      <c r="H799" s="34">
        <f>0</f>
        <v>0</v>
      </c>
    </row>
    <row r="800" spans="1:8" ht="51" x14ac:dyDescent="0.25">
      <c r="A800" s="4"/>
      <c r="B800" s="5"/>
      <c r="C800" s="35" t="s">
        <v>665</v>
      </c>
      <c r="D800" s="33" t="s">
        <v>1050</v>
      </c>
      <c r="E800" s="34">
        <f>0</f>
        <v>0</v>
      </c>
      <c r="F800" s="34">
        <f>0</f>
        <v>0</v>
      </c>
      <c r="G800" s="34" t="s">
        <v>933</v>
      </c>
      <c r="H800" s="34">
        <f>0</f>
        <v>0</v>
      </c>
    </row>
    <row r="801" spans="1:8" ht="51" x14ac:dyDescent="0.25">
      <c r="A801" s="4"/>
      <c r="B801" s="5"/>
      <c r="C801" s="33" t="s">
        <v>19</v>
      </c>
      <c r="D801" s="33" t="s">
        <v>1051</v>
      </c>
      <c r="E801" s="34">
        <f>E802+E803+E804+E805+E806+E807</f>
        <v>49160</v>
      </c>
      <c r="F801" s="34">
        <f>F802+F803+F804+F805+F806+F807</f>
        <v>49090.18</v>
      </c>
      <c r="G801" s="34" t="s">
        <v>766</v>
      </c>
      <c r="H801" s="34">
        <f>H802+H803+H804+H805+H806+H807</f>
        <v>49090.18</v>
      </c>
    </row>
    <row r="802" spans="1:8" ht="140.25" x14ac:dyDescent="0.25">
      <c r="A802" s="4"/>
      <c r="B802" s="5"/>
      <c r="C802" s="35" t="s">
        <v>195</v>
      </c>
      <c r="D802" s="33" t="s">
        <v>1052</v>
      </c>
      <c r="E802" s="34">
        <f>43758</f>
        <v>43758</v>
      </c>
      <c r="F802" s="34">
        <f>43758</f>
        <v>43758</v>
      </c>
      <c r="G802" s="34" t="s">
        <v>915</v>
      </c>
      <c r="H802" s="34">
        <f>43758</f>
        <v>43758</v>
      </c>
    </row>
    <row r="803" spans="1:8" ht="127.5" x14ac:dyDescent="0.25">
      <c r="A803" s="4"/>
      <c r="B803" s="5"/>
      <c r="C803" s="35" t="s">
        <v>284</v>
      </c>
      <c r="D803" s="33" t="s">
        <v>1053</v>
      </c>
      <c r="E803" s="34">
        <f>0</f>
        <v>0</v>
      </c>
      <c r="F803" s="34">
        <f>0</f>
        <v>0</v>
      </c>
      <c r="G803" s="34" t="s">
        <v>933</v>
      </c>
      <c r="H803" s="34">
        <f>0</f>
        <v>0</v>
      </c>
    </row>
    <row r="804" spans="1:8" ht="127.5" x14ac:dyDescent="0.25">
      <c r="A804" s="4"/>
      <c r="B804" s="5"/>
      <c r="C804" s="35" t="s">
        <v>375</v>
      </c>
      <c r="D804" s="33" t="s">
        <v>1054</v>
      </c>
      <c r="E804" s="34">
        <f>0</f>
        <v>0</v>
      </c>
      <c r="F804" s="34">
        <f>0</f>
        <v>0</v>
      </c>
      <c r="G804" s="34" t="s">
        <v>933</v>
      </c>
      <c r="H804" s="34">
        <f>0</f>
        <v>0</v>
      </c>
    </row>
    <row r="805" spans="1:8" ht="51" x14ac:dyDescent="0.25">
      <c r="A805" s="4"/>
      <c r="B805" s="5"/>
      <c r="C805" s="35" t="s">
        <v>509</v>
      </c>
      <c r="D805" s="33" t="s">
        <v>1055</v>
      </c>
      <c r="E805" s="34">
        <f>500</f>
        <v>500</v>
      </c>
      <c r="F805" s="34">
        <f>494.5</f>
        <v>494.5</v>
      </c>
      <c r="G805" s="34" t="s">
        <v>766</v>
      </c>
      <c r="H805" s="34">
        <f>494.5</f>
        <v>494.5</v>
      </c>
    </row>
    <row r="806" spans="1:8" ht="63.75" x14ac:dyDescent="0.25">
      <c r="A806" s="4"/>
      <c r="B806" s="5"/>
      <c r="C806" s="35" t="s">
        <v>684</v>
      </c>
      <c r="D806" s="33" t="s">
        <v>1056</v>
      </c>
      <c r="E806" s="34">
        <f>0</f>
        <v>0</v>
      </c>
      <c r="F806" s="34">
        <f>0</f>
        <v>0</v>
      </c>
      <c r="G806" s="34" t="s">
        <v>933</v>
      </c>
      <c r="H806" s="34">
        <f>0</f>
        <v>0</v>
      </c>
    </row>
    <row r="807" spans="1:8" ht="102" x14ac:dyDescent="0.25">
      <c r="A807" s="4"/>
      <c r="B807" s="5"/>
      <c r="C807" s="35" t="s">
        <v>686</v>
      </c>
      <c r="D807" s="33" t="s">
        <v>1057</v>
      </c>
      <c r="E807" s="34">
        <f>4902</f>
        <v>4902</v>
      </c>
      <c r="F807" s="34">
        <f>4837.68</f>
        <v>4837.68</v>
      </c>
      <c r="G807" s="34" t="s">
        <v>1058</v>
      </c>
      <c r="H807" s="34">
        <f>4837.68</f>
        <v>4837.68</v>
      </c>
    </row>
    <row r="808" spans="1:8" ht="51" x14ac:dyDescent="0.25">
      <c r="A808" s="4"/>
      <c r="B808" s="5"/>
      <c r="C808" s="33" t="s">
        <v>21</v>
      </c>
      <c r="D808" s="33" t="s">
        <v>1059</v>
      </c>
      <c r="E808" s="34">
        <f>0</f>
        <v>0</v>
      </c>
      <c r="F808" s="34">
        <f>0</f>
        <v>0</v>
      </c>
      <c r="G808" s="34" t="s">
        <v>933</v>
      </c>
      <c r="H808" s="34">
        <f>0</f>
        <v>0</v>
      </c>
    </row>
    <row r="809" spans="1:8" ht="76.5" x14ac:dyDescent="0.25">
      <c r="A809" s="4"/>
      <c r="B809" s="5"/>
      <c r="C809" s="33" t="s">
        <v>70</v>
      </c>
      <c r="D809" s="33" t="s">
        <v>1060</v>
      </c>
      <c r="E809" s="34">
        <f>SUM(E810:E817)</f>
        <v>6787.22</v>
      </c>
      <c r="F809" s="34">
        <f>SUM(F810:F817)</f>
        <v>6554.03</v>
      </c>
      <c r="G809" s="34" t="s">
        <v>771</v>
      </c>
      <c r="H809" s="34">
        <f>SUM(H810:H817)</f>
        <v>6554.03</v>
      </c>
    </row>
    <row r="810" spans="1:8" ht="38.25" x14ac:dyDescent="0.25">
      <c r="A810" s="4"/>
      <c r="B810" s="5"/>
      <c r="C810" s="35" t="s">
        <v>380</v>
      </c>
      <c r="D810" s="33" t="s">
        <v>1061</v>
      </c>
      <c r="E810" s="34">
        <f>554</f>
        <v>554</v>
      </c>
      <c r="F810" s="34">
        <f>544.08</f>
        <v>544.08000000000004</v>
      </c>
      <c r="G810" s="34" t="s">
        <v>990</v>
      </c>
      <c r="H810" s="34">
        <f>544.08</f>
        <v>544.08000000000004</v>
      </c>
    </row>
    <row r="811" spans="1:8" ht="38.25" x14ac:dyDescent="0.25">
      <c r="A811" s="4"/>
      <c r="B811" s="5"/>
      <c r="C811" s="35" t="s">
        <v>382</v>
      </c>
      <c r="D811" s="33" t="s">
        <v>1062</v>
      </c>
      <c r="E811" s="34">
        <f>400</f>
        <v>400</v>
      </c>
      <c r="F811" s="34">
        <f>400</f>
        <v>400</v>
      </c>
      <c r="G811" s="34" t="s">
        <v>446</v>
      </c>
      <c r="H811" s="34">
        <f>400</f>
        <v>400</v>
      </c>
    </row>
    <row r="812" spans="1:8" ht="38.25" x14ac:dyDescent="0.25">
      <c r="A812" s="4"/>
      <c r="B812" s="5"/>
      <c r="C812" s="35" t="s">
        <v>521</v>
      </c>
      <c r="D812" s="33" t="s">
        <v>1063</v>
      </c>
      <c r="E812" s="34">
        <f>1570</f>
        <v>1570</v>
      </c>
      <c r="F812" s="34">
        <f>1568.77</f>
        <v>1568.77</v>
      </c>
      <c r="G812" s="34" t="s">
        <v>558</v>
      </c>
      <c r="H812" s="34">
        <f>1568.77</f>
        <v>1568.77</v>
      </c>
    </row>
    <row r="813" spans="1:8" ht="38.25" x14ac:dyDescent="0.25">
      <c r="A813" s="4"/>
      <c r="B813" s="5"/>
      <c r="C813" s="35" t="s">
        <v>523</v>
      </c>
      <c r="D813" s="33" t="s">
        <v>1064</v>
      </c>
      <c r="E813" s="34">
        <f>400</f>
        <v>400</v>
      </c>
      <c r="F813" s="34">
        <f>208.06</f>
        <v>208.06</v>
      </c>
      <c r="G813" s="34" t="s">
        <v>1065</v>
      </c>
      <c r="H813" s="34">
        <f>208.06</f>
        <v>208.06</v>
      </c>
    </row>
    <row r="814" spans="1:8" ht="51" x14ac:dyDescent="0.25">
      <c r="A814" s="4"/>
      <c r="B814" s="5"/>
      <c r="C814" s="35" t="s">
        <v>525</v>
      </c>
      <c r="D814" s="33" t="s">
        <v>1066</v>
      </c>
      <c r="E814" s="34">
        <f>0</f>
        <v>0</v>
      </c>
      <c r="F814" s="34">
        <f>0</f>
        <v>0</v>
      </c>
      <c r="G814" s="34" t="s">
        <v>933</v>
      </c>
      <c r="H814" s="34">
        <f>0</f>
        <v>0</v>
      </c>
    </row>
    <row r="815" spans="1:8" ht="51" x14ac:dyDescent="0.25">
      <c r="A815" s="4"/>
      <c r="B815" s="5"/>
      <c r="C815" s="35" t="s">
        <v>528</v>
      </c>
      <c r="D815" s="33" t="s">
        <v>1067</v>
      </c>
      <c r="E815" s="34">
        <f>1717.22</f>
        <v>1717.22</v>
      </c>
      <c r="F815" s="34">
        <f>1687.12</f>
        <v>1687.12</v>
      </c>
      <c r="G815" s="34" t="s">
        <v>1068</v>
      </c>
      <c r="H815" s="34">
        <f>1687.12</f>
        <v>1687.12</v>
      </c>
    </row>
    <row r="816" spans="1:8" ht="51" x14ac:dyDescent="0.25">
      <c r="A816" s="4"/>
      <c r="B816" s="5"/>
      <c r="C816" s="35" t="s">
        <v>1069</v>
      </c>
      <c r="D816" s="33" t="s">
        <v>1070</v>
      </c>
      <c r="E816" s="34">
        <f>0</f>
        <v>0</v>
      </c>
      <c r="F816" s="34">
        <f>0</f>
        <v>0</v>
      </c>
      <c r="G816" s="34" t="s">
        <v>933</v>
      </c>
      <c r="H816" s="34">
        <f>0</f>
        <v>0</v>
      </c>
    </row>
    <row r="817" spans="1:8" ht="38.25" x14ac:dyDescent="0.25">
      <c r="A817" s="4"/>
      <c r="B817" s="5"/>
      <c r="C817" s="35" t="s">
        <v>1071</v>
      </c>
      <c r="D817" s="33" t="s">
        <v>1072</v>
      </c>
      <c r="E817" s="34">
        <f>2146</f>
        <v>2146</v>
      </c>
      <c r="F817" s="34">
        <f>2146</f>
        <v>2146</v>
      </c>
      <c r="G817" s="34" t="s">
        <v>446</v>
      </c>
      <c r="H817" s="34">
        <f>2146</f>
        <v>2146</v>
      </c>
    </row>
    <row r="818" spans="1:8" ht="38.25" x14ac:dyDescent="0.25">
      <c r="A818" s="4"/>
      <c r="B818" s="5"/>
      <c r="C818" s="33" t="s">
        <v>72</v>
      </c>
      <c r="D818" s="33" t="s">
        <v>1073</v>
      </c>
      <c r="E818" s="34">
        <f>SUM(E819:E824)</f>
        <v>5995.6</v>
      </c>
      <c r="F818" s="34">
        <f>SUM(F819:F824)</f>
        <v>5385.45</v>
      </c>
      <c r="G818" s="34" t="s">
        <v>1074</v>
      </c>
      <c r="H818" s="34">
        <f>SUM(H819:H824)</f>
        <v>5385.45</v>
      </c>
    </row>
    <row r="819" spans="1:8" ht="38.25" x14ac:dyDescent="0.25">
      <c r="A819" s="4"/>
      <c r="B819" s="5"/>
      <c r="C819" s="35" t="s">
        <v>385</v>
      </c>
      <c r="D819" s="33" t="s">
        <v>1075</v>
      </c>
      <c r="E819" s="34">
        <f>4695.6</f>
        <v>4695.6000000000004</v>
      </c>
      <c r="F819" s="34">
        <f>4085.45</f>
        <v>4085.45</v>
      </c>
      <c r="G819" s="34" t="s">
        <v>1076</v>
      </c>
      <c r="H819" s="34">
        <f>4085.45</f>
        <v>4085.45</v>
      </c>
    </row>
    <row r="820" spans="1:8" ht="89.25" x14ac:dyDescent="0.25">
      <c r="A820" s="4"/>
      <c r="B820" s="5"/>
      <c r="C820" s="35" t="s">
        <v>808</v>
      </c>
      <c r="D820" s="33" t="s">
        <v>1077</v>
      </c>
      <c r="E820" s="34">
        <f>0</f>
        <v>0</v>
      </c>
      <c r="F820" s="34">
        <f>0</f>
        <v>0</v>
      </c>
      <c r="G820" s="34" t="s">
        <v>933</v>
      </c>
      <c r="H820" s="34">
        <f>0</f>
        <v>0</v>
      </c>
    </row>
    <row r="821" spans="1:8" ht="51" x14ac:dyDescent="0.25">
      <c r="A821" s="4"/>
      <c r="B821" s="5"/>
      <c r="C821" s="35" t="s">
        <v>1078</v>
      </c>
      <c r="D821" s="33" t="s">
        <v>1079</v>
      </c>
      <c r="E821" s="34">
        <f>0</f>
        <v>0</v>
      </c>
      <c r="F821" s="34">
        <f>0</f>
        <v>0</v>
      </c>
      <c r="G821" s="34" t="s">
        <v>933</v>
      </c>
      <c r="H821" s="34">
        <f>0</f>
        <v>0</v>
      </c>
    </row>
    <row r="822" spans="1:8" ht="63.75" x14ac:dyDescent="0.25">
      <c r="A822" s="4"/>
      <c r="B822" s="5"/>
      <c r="C822" s="35" t="s">
        <v>1080</v>
      </c>
      <c r="D822" s="33" t="s">
        <v>1081</v>
      </c>
      <c r="E822" s="34">
        <f>1300</f>
        <v>1300</v>
      </c>
      <c r="F822" s="34">
        <f>1300</f>
        <v>1300</v>
      </c>
      <c r="G822" s="34" t="s">
        <v>915</v>
      </c>
      <c r="H822" s="34">
        <f>1300</f>
        <v>1300</v>
      </c>
    </row>
    <row r="823" spans="1:8" ht="51" x14ac:dyDescent="0.25">
      <c r="A823" s="4"/>
      <c r="B823" s="5"/>
      <c r="C823" s="35" t="s">
        <v>1082</v>
      </c>
      <c r="D823" s="33" t="s">
        <v>1083</v>
      </c>
      <c r="E823" s="34">
        <f>0</f>
        <v>0</v>
      </c>
      <c r="F823" s="34">
        <f>0</f>
        <v>0</v>
      </c>
      <c r="G823" s="34" t="s">
        <v>933</v>
      </c>
      <c r="H823" s="34">
        <f>0</f>
        <v>0</v>
      </c>
    </row>
    <row r="824" spans="1:8" ht="51" x14ac:dyDescent="0.25">
      <c r="A824" s="4"/>
      <c r="B824" s="5"/>
      <c r="C824" s="35" t="s">
        <v>1084</v>
      </c>
      <c r="D824" s="33" t="s">
        <v>1085</v>
      </c>
      <c r="E824" s="34">
        <f>0</f>
        <v>0</v>
      </c>
      <c r="F824" s="34">
        <f>0</f>
        <v>0</v>
      </c>
      <c r="G824" s="34" t="s">
        <v>933</v>
      </c>
      <c r="H824" s="34">
        <f>0</f>
        <v>0</v>
      </c>
    </row>
    <row r="825" spans="1:8" ht="51" x14ac:dyDescent="0.25">
      <c r="A825" s="4"/>
      <c r="B825" s="5"/>
      <c r="C825" s="33" t="s">
        <v>74</v>
      </c>
      <c r="D825" s="33" t="s">
        <v>1086</v>
      </c>
      <c r="E825" s="34">
        <f>E826</f>
        <v>0</v>
      </c>
      <c r="F825" s="34">
        <f>0</f>
        <v>0</v>
      </c>
      <c r="G825" s="34" t="s">
        <v>933</v>
      </c>
      <c r="H825" s="34">
        <f>0</f>
        <v>0</v>
      </c>
    </row>
    <row r="826" spans="1:8" ht="51" x14ac:dyDescent="0.25">
      <c r="A826" s="4"/>
      <c r="B826" s="5"/>
      <c r="C826" s="35" t="s">
        <v>388</v>
      </c>
      <c r="D826" s="33" t="s">
        <v>1087</v>
      </c>
      <c r="E826" s="34">
        <f>0</f>
        <v>0</v>
      </c>
      <c r="F826" s="34">
        <f>0</f>
        <v>0</v>
      </c>
      <c r="G826" s="34" t="s">
        <v>933</v>
      </c>
      <c r="H826" s="34">
        <f>0</f>
        <v>0</v>
      </c>
    </row>
    <row r="827" spans="1:8" ht="38.25" x14ac:dyDescent="0.25">
      <c r="A827" s="4"/>
      <c r="B827" s="5"/>
      <c r="C827" s="30" t="s">
        <v>63</v>
      </c>
      <c r="D827" s="30" t="s">
        <v>1088</v>
      </c>
      <c r="E827" s="31">
        <f>E828+E833+E849+E852+E857+E859+E860+E861+E862+E863</f>
        <v>137883.84</v>
      </c>
      <c r="F827" s="31">
        <f>F828+F833+F849+F852+F857+F859+F860+F861+F862+F863</f>
        <v>136380.24</v>
      </c>
      <c r="G827" s="31" t="s">
        <v>766</v>
      </c>
      <c r="H827" s="31">
        <f>H828+H833+H849+H852+H857+H859+H860+H861+H862+H863</f>
        <v>136380.24</v>
      </c>
    </row>
    <row r="828" spans="1:8" ht="51" x14ac:dyDescent="0.25">
      <c r="A828" s="4"/>
      <c r="B828" s="5"/>
      <c r="C828" s="33" t="s">
        <v>12</v>
      </c>
      <c r="D828" s="33" t="s">
        <v>1089</v>
      </c>
      <c r="E828" s="34">
        <f>E829</f>
        <v>10967.5</v>
      </c>
      <c r="F828" s="34">
        <f>F829</f>
        <v>9484.630000000001</v>
      </c>
      <c r="G828" s="34" t="s">
        <v>1090</v>
      </c>
      <c r="H828" s="34">
        <f>H829</f>
        <v>9484.630000000001</v>
      </c>
    </row>
    <row r="829" spans="1:8" ht="63.75" x14ac:dyDescent="0.25">
      <c r="A829" s="4"/>
      <c r="B829" s="5"/>
      <c r="C829" s="35" t="s">
        <v>26</v>
      </c>
      <c r="D829" s="33" t="s">
        <v>1091</v>
      </c>
      <c r="E829" s="34">
        <f>E830+E831+E832</f>
        <v>10967.5</v>
      </c>
      <c r="F829" s="34">
        <f>F830+F831+F832</f>
        <v>9484.630000000001</v>
      </c>
      <c r="G829" s="34" t="s">
        <v>1090</v>
      </c>
      <c r="H829" s="34">
        <f>H830+H831+H832</f>
        <v>9484.630000000001</v>
      </c>
    </row>
    <row r="830" spans="1:8" ht="38.25" x14ac:dyDescent="0.25">
      <c r="A830" s="4"/>
      <c r="B830" s="5"/>
      <c r="C830" s="35" t="s">
        <v>216</v>
      </c>
      <c r="D830" s="33" t="s">
        <v>1092</v>
      </c>
      <c r="E830" s="34">
        <f>10870.6</f>
        <v>10870.6</v>
      </c>
      <c r="F830" s="34">
        <f>9392.35</f>
        <v>9392.35</v>
      </c>
      <c r="G830" s="34" t="s">
        <v>1093</v>
      </c>
      <c r="H830" s="34">
        <f>9392.35</f>
        <v>9392.35</v>
      </c>
    </row>
    <row r="831" spans="1:8" ht="51" x14ac:dyDescent="0.25">
      <c r="A831" s="4"/>
      <c r="B831" s="5"/>
      <c r="C831" s="35" t="s">
        <v>218</v>
      </c>
      <c r="D831" s="33" t="s">
        <v>1094</v>
      </c>
      <c r="E831" s="34">
        <f>0</f>
        <v>0</v>
      </c>
      <c r="F831" s="34">
        <f>0</f>
        <v>0</v>
      </c>
      <c r="G831" s="34" t="s">
        <v>933</v>
      </c>
      <c r="H831" s="34">
        <f>0</f>
        <v>0</v>
      </c>
    </row>
    <row r="832" spans="1:8" ht="38.25" x14ac:dyDescent="0.25">
      <c r="A832" s="4"/>
      <c r="B832" s="5"/>
      <c r="C832" s="35" t="s">
        <v>220</v>
      </c>
      <c r="D832" s="33" t="s">
        <v>1095</v>
      </c>
      <c r="E832" s="34">
        <f>96.9</f>
        <v>96.9</v>
      </c>
      <c r="F832" s="34">
        <f>92.28</f>
        <v>92.28</v>
      </c>
      <c r="G832" s="34" t="s">
        <v>1096</v>
      </c>
      <c r="H832" s="34">
        <f>92.28</f>
        <v>92.28</v>
      </c>
    </row>
    <row r="833" spans="1:8" ht="127.5" x14ac:dyDescent="0.25">
      <c r="A833" s="4"/>
      <c r="B833" s="5"/>
      <c r="C833" s="33" t="s">
        <v>14</v>
      </c>
      <c r="D833" s="33" t="s">
        <v>1097</v>
      </c>
      <c r="E833" s="34">
        <f>E834+E838+E839+E840+E841+E842+E843+E844+E845+E846+E847+E848</f>
        <v>126733.44</v>
      </c>
      <c r="F833" s="34">
        <f>F834+F838+F839+F840+F841+F842+F843+F844+F845+F846+F847+F848</f>
        <v>126712.71</v>
      </c>
      <c r="G833" s="34" t="s">
        <v>446</v>
      </c>
      <c r="H833" s="34">
        <f>H834+H838+H839+H840+H841+H842+H843+H844+H845+H846+H847+H848</f>
        <v>126712.71</v>
      </c>
    </row>
    <row r="834" spans="1:8" ht="51" x14ac:dyDescent="0.25">
      <c r="A834" s="4"/>
      <c r="B834" s="5"/>
      <c r="C834" s="35" t="s">
        <v>33</v>
      </c>
      <c r="D834" s="33" t="s">
        <v>1098</v>
      </c>
      <c r="E834" s="34">
        <f>E835+E836+E837</f>
        <v>48131.34</v>
      </c>
      <c r="F834" s="34">
        <f>F835+F836+F837</f>
        <v>48110.61</v>
      </c>
      <c r="G834" s="34" t="s">
        <v>446</v>
      </c>
      <c r="H834" s="34">
        <f>H835+H836+H837</f>
        <v>48110.61</v>
      </c>
    </row>
    <row r="835" spans="1:8" ht="38.25" x14ac:dyDescent="0.25">
      <c r="A835" s="4"/>
      <c r="B835" s="5"/>
      <c r="C835" s="35" t="s">
        <v>184</v>
      </c>
      <c r="D835" s="33" t="s">
        <v>1092</v>
      </c>
      <c r="E835" s="34">
        <f>26725.75</f>
        <v>26725.75</v>
      </c>
      <c r="F835" s="34">
        <f>26705.02</f>
        <v>26705.02</v>
      </c>
      <c r="G835" s="34" t="s">
        <v>446</v>
      </c>
      <c r="H835" s="34">
        <f>26705.02</f>
        <v>26705.02</v>
      </c>
    </row>
    <row r="836" spans="1:8" ht="51" x14ac:dyDescent="0.25">
      <c r="A836" s="4"/>
      <c r="B836" s="5"/>
      <c r="C836" s="35" t="s">
        <v>186</v>
      </c>
      <c r="D836" s="33" t="s">
        <v>1099</v>
      </c>
      <c r="E836" s="34">
        <f>0</f>
        <v>0</v>
      </c>
      <c r="F836" s="34">
        <f>0</f>
        <v>0</v>
      </c>
      <c r="G836" s="34" t="s">
        <v>933</v>
      </c>
      <c r="H836" s="34">
        <f>0</f>
        <v>0</v>
      </c>
    </row>
    <row r="837" spans="1:8" ht="38.25" x14ac:dyDescent="0.25">
      <c r="A837" s="4"/>
      <c r="B837" s="5"/>
      <c r="C837" s="35" t="s">
        <v>1011</v>
      </c>
      <c r="D837" s="33" t="s">
        <v>1095</v>
      </c>
      <c r="E837" s="34">
        <f>21405.59</f>
        <v>21405.59</v>
      </c>
      <c r="F837" s="34">
        <f>21405.59</f>
        <v>21405.59</v>
      </c>
      <c r="G837" s="34" t="s">
        <v>446</v>
      </c>
      <c r="H837" s="34">
        <f>21405.59</f>
        <v>21405.59</v>
      </c>
    </row>
    <row r="838" spans="1:8" ht="89.25" x14ac:dyDescent="0.25">
      <c r="A838" s="4"/>
      <c r="B838" s="5"/>
      <c r="C838" s="35" t="s">
        <v>35</v>
      </c>
      <c r="D838" s="33" t="s">
        <v>1100</v>
      </c>
      <c r="E838" s="34">
        <f>0</f>
        <v>0</v>
      </c>
      <c r="F838" s="34">
        <f>0</f>
        <v>0</v>
      </c>
      <c r="G838" s="34" t="s">
        <v>933</v>
      </c>
      <c r="H838" s="34">
        <f>0</f>
        <v>0</v>
      </c>
    </row>
    <row r="839" spans="1:8" ht="76.5" x14ac:dyDescent="0.25">
      <c r="A839" s="4"/>
      <c r="B839" s="5"/>
      <c r="C839" s="35" t="s">
        <v>276</v>
      </c>
      <c r="D839" s="33" t="s">
        <v>1101</v>
      </c>
      <c r="E839" s="34">
        <f>0</f>
        <v>0</v>
      </c>
      <c r="F839" s="34">
        <f>0</f>
        <v>0</v>
      </c>
      <c r="G839" s="34" t="s">
        <v>933</v>
      </c>
      <c r="H839" s="34">
        <f>0</f>
        <v>0</v>
      </c>
    </row>
    <row r="840" spans="1:8" ht="51" x14ac:dyDescent="0.25">
      <c r="A840" s="4"/>
      <c r="B840" s="5"/>
      <c r="C840" s="35" t="s">
        <v>278</v>
      </c>
      <c r="D840" s="33" t="s">
        <v>1102</v>
      </c>
      <c r="E840" s="34">
        <f>0</f>
        <v>0</v>
      </c>
      <c r="F840" s="34">
        <f>0</f>
        <v>0</v>
      </c>
      <c r="G840" s="34" t="s">
        <v>933</v>
      </c>
      <c r="H840" s="34">
        <f>0</f>
        <v>0</v>
      </c>
    </row>
    <row r="841" spans="1:8" ht="51" x14ac:dyDescent="0.25">
      <c r="A841" s="4"/>
      <c r="B841" s="5"/>
      <c r="C841" s="35" t="s">
        <v>458</v>
      </c>
      <c r="D841" s="33" t="s">
        <v>1103</v>
      </c>
      <c r="E841" s="34">
        <f>0</f>
        <v>0</v>
      </c>
      <c r="F841" s="34">
        <f>0</f>
        <v>0</v>
      </c>
      <c r="G841" s="34" t="s">
        <v>933</v>
      </c>
      <c r="H841" s="34">
        <f>0</f>
        <v>0</v>
      </c>
    </row>
    <row r="842" spans="1:8" ht="63.75" x14ac:dyDescent="0.25">
      <c r="A842" s="4"/>
      <c r="B842" s="5"/>
      <c r="C842" s="35" t="s">
        <v>460</v>
      </c>
      <c r="D842" s="33" t="s">
        <v>1104</v>
      </c>
      <c r="E842" s="34">
        <f>71865.1</f>
        <v>71865.100000000006</v>
      </c>
      <c r="F842" s="34">
        <f>71865.1</f>
        <v>71865.100000000006</v>
      </c>
      <c r="G842" s="34" t="s">
        <v>446</v>
      </c>
      <c r="H842" s="34">
        <f>71865.1</f>
        <v>71865.100000000006</v>
      </c>
    </row>
    <row r="843" spans="1:8" ht="51" x14ac:dyDescent="0.25">
      <c r="A843" s="4"/>
      <c r="B843" s="5"/>
      <c r="C843" s="35" t="s">
        <v>462</v>
      </c>
      <c r="D843" s="33" t="s">
        <v>1105</v>
      </c>
      <c r="E843" s="34">
        <f>20</f>
        <v>20</v>
      </c>
      <c r="F843" s="34">
        <f>20</f>
        <v>20</v>
      </c>
      <c r="G843" s="34" t="s">
        <v>446</v>
      </c>
      <c r="H843" s="34">
        <f>20</f>
        <v>20</v>
      </c>
    </row>
    <row r="844" spans="1:8" ht="63.75" x14ac:dyDescent="0.25">
      <c r="A844" s="4"/>
      <c r="B844" s="5"/>
      <c r="C844" s="35" t="s">
        <v>568</v>
      </c>
      <c r="D844" s="33" t="s">
        <v>1106</v>
      </c>
      <c r="E844" s="34">
        <f>0</f>
        <v>0</v>
      </c>
      <c r="F844" s="34">
        <f>0</f>
        <v>0</v>
      </c>
      <c r="G844" s="34" t="s">
        <v>933</v>
      </c>
      <c r="H844" s="34">
        <f>0</f>
        <v>0</v>
      </c>
    </row>
    <row r="845" spans="1:8" ht="51" x14ac:dyDescent="0.25">
      <c r="A845" s="4"/>
      <c r="B845" s="5"/>
      <c r="C845" s="35" t="s">
        <v>570</v>
      </c>
      <c r="D845" s="33" t="s">
        <v>1107</v>
      </c>
      <c r="E845" s="34">
        <f>150</f>
        <v>150</v>
      </c>
      <c r="F845" s="34">
        <f>150</f>
        <v>150</v>
      </c>
      <c r="G845" s="34" t="s">
        <v>446</v>
      </c>
      <c r="H845" s="34">
        <f>150</f>
        <v>150</v>
      </c>
    </row>
    <row r="846" spans="1:8" ht="76.5" x14ac:dyDescent="0.25">
      <c r="A846" s="4"/>
      <c r="B846" s="5"/>
      <c r="C846" s="35" t="s">
        <v>572</v>
      </c>
      <c r="D846" s="33" t="s">
        <v>1108</v>
      </c>
      <c r="E846" s="34">
        <f>0</f>
        <v>0</v>
      </c>
      <c r="F846" s="34">
        <f>0</f>
        <v>0</v>
      </c>
      <c r="G846" s="34" t="s">
        <v>933</v>
      </c>
      <c r="H846" s="34">
        <f>0</f>
        <v>0</v>
      </c>
    </row>
    <row r="847" spans="1:8" ht="63.75" x14ac:dyDescent="0.25">
      <c r="A847" s="4"/>
      <c r="B847" s="5"/>
      <c r="C847" s="35" t="s">
        <v>574</v>
      </c>
      <c r="D847" s="33" t="s">
        <v>1109</v>
      </c>
      <c r="E847" s="34">
        <f>340</f>
        <v>340</v>
      </c>
      <c r="F847" s="34">
        <f>340</f>
        <v>340</v>
      </c>
      <c r="G847" s="34" t="s">
        <v>915</v>
      </c>
      <c r="H847" s="34">
        <f>340</f>
        <v>340</v>
      </c>
    </row>
    <row r="848" spans="1:8" ht="25.5" x14ac:dyDescent="0.25">
      <c r="A848" s="4"/>
      <c r="B848" s="5"/>
      <c r="C848" s="35" t="s">
        <v>576</v>
      </c>
      <c r="D848" s="33" t="s">
        <v>1110</v>
      </c>
      <c r="E848" s="34">
        <f>6227</f>
        <v>6227</v>
      </c>
      <c r="F848" s="34">
        <f>6227</f>
        <v>6227</v>
      </c>
      <c r="G848" s="34" t="s">
        <v>915</v>
      </c>
      <c r="H848" s="34">
        <f>6227</f>
        <v>6227</v>
      </c>
    </row>
    <row r="849" spans="1:8" ht="63.75" x14ac:dyDescent="0.25">
      <c r="A849" s="4"/>
      <c r="B849" s="5"/>
      <c r="C849" s="33" t="s">
        <v>16</v>
      </c>
      <c r="D849" s="33" t="s">
        <v>1111</v>
      </c>
      <c r="E849" s="34">
        <f>E850+E851</f>
        <v>182.9</v>
      </c>
      <c r="F849" s="34">
        <f>F850+F851</f>
        <v>182.9</v>
      </c>
      <c r="G849" s="34" t="s">
        <v>446</v>
      </c>
      <c r="H849" s="34">
        <f>H850+H851</f>
        <v>182.9</v>
      </c>
    </row>
    <row r="850" spans="1:8" ht="51" x14ac:dyDescent="0.25">
      <c r="A850" s="4"/>
      <c r="B850" s="5"/>
      <c r="C850" s="35" t="s">
        <v>38</v>
      </c>
      <c r="D850" s="33" t="s">
        <v>1112</v>
      </c>
      <c r="E850" s="34">
        <f>182.9</f>
        <v>182.9</v>
      </c>
      <c r="F850" s="34">
        <f>182.9</f>
        <v>182.9</v>
      </c>
      <c r="G850" s="34" t="s">
        <v>1113</v>
      </c>
      <c r="H850" s="34">
        <f>182.9</f>
        <v>182.9</v>
      </c>
    </row>
    <row r="851" spans="1:8" ht="51" x14ac:dyDescent="0.25">
      <c r="A851" s="4"/>
      <c r="B851" s="5"/>
      <c r="C851" s="35" t="s">
        <v>40</v>
      </c>
      <c r="D851" s="33" t="s">
        <v>1114</v>
      </c>
      <c r="E851" s="34">
        <f>0</f>
        <v>0</v>
      </c>
      <c r="F851" s="34">
        <f>0</f>
        <v>0</v>
      </c>
      <c r="G851" s="34" t="s">
        <v>933</v>
      </c>
      <c r="H851" s="34">
        <f>0</f>
        <v>0</v>
      </c>
    </row>
    <row r="852" spans="1:8" ht="51" x14ac:dyDescent="0.25">
      <c r="A852" s="4"/>
      <c r="B852" s="5"/>
      <c r="C852" s="33" t="s">
        <v>19</v>
      </c>
      <c r="D852" s="33" t="s">
        <v>1115</v>
      </c>
      <c r="E852" s="34">
        <f>E853+E854+E855+E856</f>
        <v>0</v>
      </c>
      <c r="F852" s="34">
        <f>F853+F854+F855+F856</f>
        <v>0</v>
      </c>
      <c r="G852" s="34" t="s">
        <v>933</v>
      </c>
      <c r="H852" s="34">
        <f>H853+H854+H855+H856</f>
        <v>0</v>
      </c>
    </row>
    <row r="853" spans="1:8" ht="51" x14ac:dyDescent="0.25">
      <c r="A853" s="4"/>
      <c r="B853" s="5"/>
      <c r="C853" s="35" t="s">
        <v>195</v>
      </c>
      <c r="D853" s="33" t="s">
        <v>1116</v>
      </c>
      <c r="E853" s="34">
        <f>0</f>
        <v>0</v>
      </c>
      <c r="F853" s="34">
        <f>0</f>
        <v>0</v>
      </c>
      <c r="G853" s="34" t="s">
        <v>933</v>
      </c>
      <c r="H853" s="34">
        <f>0</f>
        <v>0</v>
      </c>
    </row>
    <row r="854" spans="1:8" ht="51" x14ac:dyDescent="0.25">
      <c r="A854" s="4"/>
      <c r="B854" s="5"/>
      <c r="C854" s="35" t="s">
        <v>284</v>
      </c>
      <c r="D854" s="33" t="s">
        <v>1117</v>
      </c>
      <c r="E854" s="34">
        <f>0</f>
        <v>0</v>
      </c>
      <c r="F854" s="34">
        <f>0</f>
        <v>0</v>
      </c>
      <c r="G854" s="34" t="s">
        <v>933</v>
      </c>
      <c r="H854" s="34">
        <f>0</f>
        <v>0</v>
      </c>
    </row>
    <row r="855" spans="1:8" ht="51" x14ac:dyDescent="0.25">
      <c r="A855" s="4"/>
      <c r="B855" s="5"/>
      <c r="C855" s="35" t="s">
        <v>375</v>
      </c>
      <c r="D855" s="33" t="s">
        <v>1118</v>
      </c>
      <c r="E855" s="34">
        <f>0</f>
        <v>0</v>
      </c>
      <c r="F855" s="34">
        <f>0</f>
        <v>0</v>
      </c>
      <c r="G855" s="34" t="s">
        <v>933</v>
      </c>
      <c r="H855" s="34">
        <f>0</f>
        <v>0</v>
      </c>
    </row>
    <row r="856" spans="1:8" ht="51" x14ac:dyDescent="0.25">
      <c r="A856" s="4"/>
      <c r="B856" s="5"/>
      <c r="C856" s="35" t="s">
        <v>509</v>
      </c>
      <c r="D856" s="33" t="s">
        <v>1119</v>
      </c>
      <c r="E856" s="34">
        <f>0</f>
        <v>0</v>
      </c>
      <c r="F856" s="34">
        <f>0</f>
        <v>0</v>
      </c>
      <c r="G856" s="34" t="s">
        <v>933</v>
      </c>
      <c r="H856" s="34">
        <f>0</f>
        <v>0</v>
      </c>
    </row>
    <row r="857" spans="1:8" ht="51" x14ac:dyDescent="0.25">
      <c r="A857" s="4"/>
      <c r="B857" s="5"/>
      <c r="C857" s="33" t="s">
        <v>21</v>
      </c>
      <c r="D857" s="33" t="s">
        <v>1120</v>
      </c>
      <c r="E857" s="34">
        <f>E858</f>
        <v>0</v>
      </c>
      <c r="F857" s="34">
        <f>F858</f>
        <v>0</v>
      </c>
      <c r="G857" s="34" t="s">
        <v>933</v>
      </c>
      <c r="H857" s="34">
        <f>H858</f>
        <v>0</v>
      </c>
    </row>
    <row r="858" spans="1:8" ht="63.75" x14ac:dyDescent="0.25">
      <c r="A858" s="4"/>
      <c r="B858" s="5"/>
      <c r="C858" s="35" t="s">
        <v>203</v>
      </c>
      <c r="D858" s="33" t="s">
        <v>1121</v>
      </c>
      <c r="E858" s="34">
        <f>0</f>
        <v>0</v>
      </c>
      <c r="F858" s="34">
        <f>0</f>
        <v>0</v>
      </c>
      <c r="G858" s="34" t="s">
        <v>933</v>
      </c>
      <c r="H858" s="34">
        <f>0</f>
        <v>0</v>
      </c>
    </row>
    <row r="859" spans="1:8" ht="51" x14ac:dyDescent="0.25">
      <c r="A859" s="4"/>
      <c r="B859" s="5"/>
      <c r="C859" s="33" t="s">
        <v>70</v>
      </c>
      <c r="D859" s="33" t="s">
        <v>1122</v>
      </c>
      <c r="E859" s="34">
        <f>0</f>
        <v>0</v>
      </c>
      <c r="F859" s="34">
        <f>0</f>
        <v>0</v>
      </c>
      <c r="G859" s="34" t="s">
        <v>933</v>
      </c>
      <c r="H859" s="34">
        <f>0</f>
        <v>0</v>
      </c>
    </row>
    <row r="860" spans="1:8" ht="63.75" x14ac:dyDescent="0.25">
      <c r="A860" s="4"/>
      <c r="B860" s="5"/>
      <c r="C860" s="33" t="s">
        <v>72</v>
      </c>
      <c r="D860" s="33" t="s">
        <v>1123</v>
      </c>
      <c r="E860" s="34">
        <f>0</f>
        <v>0</v>
      </c>
      <c r="F860" s="34">
        <f>0</f>
        <v>0</v>
      </c>
      <c r="G860" s="34" t="s">
        <v>933</v>
      </c>
      <c r="H860" s="34">
        <f>0</f>
        <v>0</v>
      </c>
    </row>
    <row r="861" spans="1:8" ht="51" x14ac:dyDescent="0.25">
      <c r="A861" s="4"/>
      <c r="B861" s="5"/>
      <c r="C861" s="33" t="s">
        <v>74</v>
      </c>
      <c r="D861" s="33" t="s">
        <v>1124</v>
      </c>
      <c r="E861" s="34">
        <f>0</f>
        <v>0</v>
      </c>
      <c r="F861" s="34">
        <f>0</f>
        <v>0</v>
      </c>
      <c r="G861" s="34" t="s">
        <v>933</v>
      </c>
      <c r="H861" s="34">
        <f>0</f>
        <v>0</v>
      </c>
    </row>
    <row r="862" spans="1:8" ht="51" x14ac:dyDescent="0.25">
      <c r="A862" s="4"/>
      <c r="B862" s="5"/>
      <c r="C862" s="33" t="s">
        <v>77</v>
      </c>
      <c r="D862" s="33" t="s">
        <v>1125</v>
      </c>
      <c r="E862" s="34">
        <f>0</f>
        <v>0</v>
      </c>
      <c r="F862" s="34">
        <f>0</f>
        <v>0</v>
      </c>
      <c r="G862" s="34" t="s">
        <v>933</v>
      </c>
      <c r="H862" s="34">
        <f>0</f>
        <v>0</v>
      </c>
    </row>
    <row r="863" spans="1:8" ht="51" x14ac:dyDescent="0.25">
      <c r="A863" s="4"/>
      <c r="B863" s="5"/>
      <c r="C863" s="33" t="s">
        <v>79</v>
      </c>
      <c r="D863" s="33" t="s">
        <v>1126</v>
      </c>
      <c r="E863" s="34">
        <f>0</f>
        <v>0</v>
      </c>
      <c r="F863" s="34">
        <f>0</f>
        <v>0</v>
      </c>
      <c r="G863" s="34" t="s">
        <v>933</v>
      </c>
      <c r="H863" s="34">
        <f>0</f>
        <v>0</v>
      </c>
    </row>
    <row r="864" spans="1:8" ht="38.25" x14ac:dyDescent="0.25">
      <c r="A864" s="4"/>
      <c r="B864" s="5"/>
      <c r="C864" s="30" t="s">
        <v>82</v>
      </c>
      <c r="D864" s="30" t="s">
        <v>427</v>
      </c>
      <c r="E864" s="31">
        <f>E865+E868+E871+E872+E873+E874</f>
        <v>29201.750000000004</v>
      </c>
      <c r="F864" s="31">
        <f>F865+F868+F871+F872+F873+F874</f>
        <v>28650.36</v>
      </c>
      <c r="G864" s="31" t="s">
        <v>1127</v>
      </c>
      <c r="H864" s="31">
        <f>H865+H868+H871+H872+H873+H874</f>
        <v>28650.36</v>
      </c>
    </row>
    <row r="865" spans="1:8" ht="63.75" x14ac:dyDescent="0.25">
      <c r="A865" s="4"/>
      <c r="B865" s="5"/>
      <c r="C865" s="33" t="s">
        <v>12</v>
      </c>
      <c r="D865" s="33" t="s">
        <v>1128</v>
      </c>
      <c r="E865" s="34">
        <f>E866+E867</f>
        <v>0</v>
      </c>
      <c r="F865" s="34">
        <f>F866+F867</f>
        <v>0</v>
      </c>
      <c r="G865" s="34" t="s">
        <v>933</v>
      </c>
      <c r="H865" s="34">
        <f>H866+H867</f>
        <v>0</v>
      </c>
    </row>
    <row r="866" spans="1:8" ht="51" x14ac:dyDescent="0.25">
      <c r="A866" s="4"/>
      <c r="B866" s="5"/>
      <c r="C866" s="35" t="s">
        <v>26</v>
      </c>
      <c r="D866" s="33" t="s">
        <v>1129</v>
      </c>
      <c r="E866" s="34">
        <f>0</f>
        <v>0</v>
      </c>
      <c r="F866" s="34">
        <f>0</f>
        <v>0</v>
      </c>
      <c r="G866" s="34" t="s">
        <v>933</v>
      </c>
      <c r="H866" s="34">
        <f>0</f>
        <v>0</v>
      </c>
    </row>
    <row r="867" spans="1:8" ht="51" x14ac:dyDescent="0.25">
      <c r="A867" s="4"/>
      <c r="B867" s="5"/>
      <c r="C867" s="35" t="s">
        <v>28</v>
      </c>
      <c r="D867" s="33" t="s">
        <v>1130</v>
      </c>
      <c r="E867" s="34">
        <f>0</f>
        <v>0</v>
      </c>
      <c r="F867" s="34">
        <f>0</f>
        <v>0</v>
      </c>
      <c r="G867" s="34" t="s">
        <v>933</v>
      </c>
      <c r="H867" s="34">
        <f>0</f>
        <v>0</v>
      </c>
    </row>
    <row r="868" spans="1:8" ht="51" x14ac:dyDescent="0.25">
      <c r="A868" s="4"/>
      <c r="B868" s="5"/>
      <c r="C868" s="33" t="s">
        <v>14</v>
      </c>
      <c r="D868" s="33" t="s">
        <v>1131</v>
      </c>
      <c r="E868" s="34">
        <f>E869+E870</f>
        <v>0</v>
      </c>
      <c r="F868" s="34">
        <f>F869+F870</f>
        <v>0</v>
      </c>
      <c r="G868" s="34" t="s">
        <v>933</v>
      </c>
      <c r="H868" s="34">
        <f>H869+H870</f>
        <v>0</v>
      </c>
    </row>
    <row r="869" spans="1:8" ht="51" x14ac:dyDescent="0.25">
      <c r="A869" s="4"/>
      <c r="B869" s="5"/>
      <c r="C869" s="35" t="s">
        <v>33</v>
      </c>
      <c r="D869" s="33" t="s">
        <v>1129</v>
      </c>
      <c r="E869" s="34">
        <f>0</f>
        <v>0</v>
      </c>
      <c r="F869" s="34">
        <f>0</f>
        <v>0</v>
      </c>
      <c r="G869" s="34" t="s">
        <v>933</v>
      </c>
      <c r="H869" s="34">
        <f>0</f>
        <v>0</v>
      </c>
    </row>
    <row r="870" spans="1:8" ht="51" x14ac:dyDescent="0.25">
      <c r="A870" s="4"/>
      <c r="B870" s="5"/>
      <c r="C870" s="35" t="s">
        <v>35</v>
      </c>
      <c r="D870" s="33" t="s">
        <v>1130</v>
      </c>
      <c r="E870" s="34">
        <f>0</f>
        <v>0</v>
      </c>
      <c r="F870" s="34">
        <f>0</f>
        <v>0</v>
      </c>
      <c r="G870" s="34" t="s">
        <v>933</v>
      </c>
      <c r="H870" s="34">
        <f>0</f>
        <v>0</v>
      </c>
    </row>
    <row r="871" spans="1:8" ht="38.25" x14ac:dyDescent="0.25">
      <c r="A871" s="4"/>
      <c r="B871" s="5"/>
      <c r="C871" s="33" t="s">
        <v>16</v>
      </c>
      <c r="D871" s="33" t="s">
        <v>1132</v>
      </c>
      <c r="E871" s="34">
        <f>12001.03</f>
        <v>12001.03</v>
      </c>
      <c r="F871" s="34">
        <f>11709.97</f>
        <v>11709.97</v>
      </c>
      <c r="G871" s="34" t="s">
        <v>930</v>
      </c>
      <c r="H871" s="34">
        <f>11709.97</f>
        <v>11709.97</v>
      </c>
    </row>
    <row r="872" spans="1:8" ht="38.25" x14ac:dyDescent="0.25">
      <c r="A872" s="4"/>
      <c r="B872" s="5"/>
      <c r="C872" s="33" t="s">
        <v>19</v>
      </c>
      <c r="D872" s="33" t="s">
        <v>1130</v>
      </c>
      <c r="E872" s="34">
        <f>326.8</f>
        <v>326.8</v>
      </c>
      <c r="F872" s="34">
        <f>224.51</f>
        <v>224.51</v>
      </c>
      <c r="G872" s="34" t="s">
        <v>1133</v>
      </c>
      <c r="H872" s="34">
        <f>224.51</f>
        <v>224.51</v>
      </c>
    </row>
    <row r="873" spans="1:8" ht="38.25" x14ac:dyDescent="0.25">
      <c r="A873" s="4"/>
      <c r="B873" s="5"/>
      <c r="C873" s="33" t="s">
        <v>21</v>
      </c>
      <c r="D873" s="33" t="s">
        <v>1134</v>
      </c>
      <c r="E873" s="34">
        <f>15716.93</f>
        <v>15716.93</v>
      </c>
      <c r="F873" s="34">
        <f>15716.93</f>
        <v>15716.93</v>
      </c>
      <c r="G873" s="34" t="s">
        <v>446</v>
      </c>
      <c r="H873" s="34">
        <f>15716.93</f>
        <v>15716.93</v>
      </c>
    </row>
    <row r="874" spans="1:8" ht="51" x14ac:dyDescent="0.25">
      <c r="A874" s="4"/>
      <c r="B874" s="5"/>
      <c r="C874" s="33" t="s">
        <v>70</v>
      </c>
      <c r="D874" s="33" t="s">
        <v>1135</v>
      </c>
      <c r="E874" s="34">
        <f>1156.99</f>
        <v>1156.99</v>
      </c>
      <c r="F874" s="34">
        <f>998.95</f>
        <v>998.95</v>
      </c>
      <c r="G874" s="34" t="s">
        <v>1136</v>
      </c>
      <c r="H874" s="34">
        <f>998.95</f>
        <v>998.95</v>
      </c>
    </row>
    <row r="875" spans="1:8" ht="15.75" x14ac:dyDescent="0.25">
      <c r="A875" s="4"/>
      <c r="B875" s="5"/>
      <c r="C875" s="22" t="s">
        <v>90</v>
      </c>
      <c r="D875" s="22"/>
      <c r="E875" s="16">
        <f>E709+E763+E827+E864</f>
        <v>1755422.36</v>
      </c>
      <c r="F875" s="16">
        <f>F709+F763+F827+F864</f>
        <v>1694613.8000000003</v>
      </c>
      <c r="G875" s="16" t="s">
        <v>1137</v>
      </c>
      <c r="H875" s="16">
        <f>H709+H763+H827+H864</f>
        <v>1694613.8000000003</v>
      </c>
    </row>
    <row r="876" spans="1:8" ht="63.75" x14ac:dyDescent="0.25">
      <c r="A876" s="4">
        <v>13</v>
      </c>
      <c r="B876" s="5" t="s">
        <v>1138</v>
      </c>
      <c r="C876" s="30" t="s">
        <v>10</v>
      </c>
      <c r="D876" s="30" t="s">
        <v>1139</v>
      </c>
      <c r="E876" s="31">
        <f>E877+E884+E886+E891+E896</f>
        <v>25675.51</v>
      </c>
      <c r="F876" s="31">
        <f>F877+F884+F886+F891+F896</f>
        <v>25386.400000000001</v>
      </c>
      <c r="G876" s="31" t="s">
        <v>766</v>
      </c>
      <c r="H876" s="31">
        <f>H877+H884+H886+H891+H896</f>
        <v>25386.400000000001</v>
      </c>
    </row>
    <row r="877" spans="1:8" ht="38.25" x14ac:dyDescent="0.25">
      <c r="A877" s="4"/>
      <c r="B877" s="5"/>
      <c r="C877" s="33" t="s">
        <v>12</v>
      </c>
      <c r="D877" s="33" t="s">
        <v>1140</v>
      </c>
      <c r="E877" s="34">
        <f>E878+E879+E880+E881+E882+E883</f>
        <v>21973.82</v>
      </c>
      <c r="F877" s="34">
        <f>F878+F879+F880+F881+F882+F883</f>
        <v>21699.47</v>
      </c>
      <c r="G877" s="34" t="s">
        <v>970</v>
      </c>
      <c r="H877" s="34">
        <f>H878+H879+H880+H881+H882+H883</f>
        <v>21699.47</v>
      </c>
    </row>
    <row r="878" spans="1:8" ht="63.75" x14ac:dyDescent="0.25">
      <c r="A878" s="4"/>
      <c r="B878" s="5"/>
      <c r="C878" s="35" t="s">
        <v>26</v>
      </c>
      <c r="D878" s="33" t="s">
        <v>1141</v>
      </c>
      <c r="E878" s="34">
        <f>0</f>
        <v>0</v>
      </c>
      <c r="F878" s="34">
        <f>0</f>
        <v>0</v>
      </c>
      <c r="G878" s="34" t="s">
        <v>18</v>
      </c>
      <c r="H878" s="34">
        <f>0</f>
        <v>0</v>
      </c>
    </row>
    <row r="879" spans="1:8" ht="216.75" x14ac:dyDescent="0.25">
      <c r="A879" s="4"/>
      <c r="B879" s="5"/>
      <c r="C879" s="35" t="s">
        <v>28</v>
      </c>
      <c r="D879" s="33" t="s">
        <v>1142</v>
      </c>
      <c r="E879" s="34">
        <f>0</f>
        <v>0</v>
      </c>
      <c r="F879" s="34">
        <f>0</f>
        <v>0</v>
      </c>
      <c r="G879" s="34" t="s">
        <v>18</v>
      </c>
      <c r="H879" s="34">
        <f>0</f>
        <v>0</v>
      </c>
    </row>
    <row r="880" spans="1:8" ht="63.75" x14ac:dyDescent="0.25">
      <c r="A880" s="4"/>
      <c r="B880" s="5"/>
      <c r="C880" s="35" t="s">
        <v>30</v>
      </c>
      <c r="D880" s="33" t="s">
        <v>1143</v>
      </c>
      <c r="E880" s="34">
        <f>2319.1</f>
        <v>2319.1</v>
      </c>
      <c r="F880" s="34">
        <f>2044.81</f>
        <v>2044.81</v>
      </c>
      <c r="G880" s="34" t="s">
        <v>1144</v>
      </c>
      <c r="H880" s="34">
        <f>2044.81</f>
        <v>2044.81</v>
      </c>
    </row>
    <row r="881" spans="1:8" ht="114.75" x14ac:dyDescent="0.25">
      <c r="A881" s="4"/>
      <c r="B881" s="5"/>
      <c r="C881" s="35" t="s">
        <v>87</v>
      </c>
      <c r="D881" s="33" t="s">
        <v>1145</v>
      </c>
      <c r="E881" s="34">
        <f>0</f>
        <v>0</v>
      </c>
      <c r="F881" s="34">
        <f>0</f>
        <v>0</v>
      </c>
      <c r="G881" s="34" t="s">
        <v>18</v>
      </c>
      <c r="H881" s="34">
        <f>0</f>
        <v>0</v>
      </c>
    </row>
    <row r="882" spans="1:8" ht="38.25" x14ac:dyDescent="0.25">
      <c r="A882" s="4"/>
      <c r="B882" s="5"/>
      <c r="C882" s="35" t="s">
        <v>89</v>
      </c>
      <c r="D882" s="33" t="s">
        <v>1146</v>
      </c>
      <c r="E882" s="34">
        <f>3877.41+15777.31</f>
        <v>19654.72</v>
      </c>
      <c r="F882" s="34">
        <f>3877.35+15777.31</f>
        <v>19654.66</v>
      </c>
      <c r="G882" s="34" t="s">
        <v>446</v>
      </c>
      <c r="H882" s="34">
        <f>3877.35+15777.31</f>
        <v>19654.66</v>
      </c>
    </row>
    <row r="883" spans="1:8" ht="51" x14ac:dyDescent="0.25">
      <c r="A883" s="4"/>
      <c r="B883" s="5"/>
      <c r="C883" s="35" t="s">
        <v>98</v>
      </c>
      <c r="D883" s="33" t="s">
        <v>1147</v>
      </c>
      <c r="E883" s="34">
        <f>0</f>
        <v>0</v>
      </c>
      <c r="F883" s="34">
        <f>0</f>
        <v>0</v>
      </c>
      <c r="G883" s="34" t="s">
        <v>18</v>
      </c>
      <c r="H883" s="34">
        <f>0</f>
        <v>0</v>
      </c>
    </row>
    <row r="884" spans="1:8" ht="38.25" x14ac:dyDescent="0.25">
      <c r="A884" s="4"/>
      <c r="B884" s="5"/>
      <c r="C884" s="33" t="s">
        <v>14</v>
      </c>
      <c r="D884" s="33" t="s">
        <v>1148</v>
      </c>
      <c r="E884" s="34">
        <f>E885</f>
        <v>796.3</v>
      </c>
      <c r="F884" s="34">
        <f>F885</f>
        <v>796.3</v>
      </c>
      <c r="G884" s="34" t="s">
        <v>446</v>
      </c>
      <c r="H884" s="34">
        <f>H885</f>
        <v>796.3</v>
      </c>
    </row>
    <row r="885" spans="1:8" ht="255" x14ac:dyDescent="0.25">
      <c r="A885" s="4"/>
      <c r="B885" s="5"/>
      <c r="C885" s="35" t="s">
        <v>33</v>
      </c>
      <c r="D885" s="33" t="s">
        <v>1149</v>
      </c>
      <c r="E885" s="34">
        <f>693+103.3</f>
        <v>796.3</v>
      </c>
      <c r="F885" s="34">
        <f>693+103.3</f>
        <v>796.3</v>
      </c>
      <c r="G885" s="34" t="s">
        <v>446</v>
      </c>
      <c r="H885" s="34">
        <f>693+103.3</f>
        <v>796.3</v>
      </c>
    </row>
    <row r="886" spans="1:8" ht="38.25" x14ac:dyDescent="0.25">
      <c r="A886" s="4"/>
      <c r="B886" s="5"/>
      <c r="C886" s="33" t="s">
        <v>16</v>
      </c>
      <c r="D886" s="33" t="s">
        <v>1150</v>
      </c>
      <c r="E886" s="34">
        <f>E887+E888+E889+E890</f>
        <v>2905.3900000000003</v>
      </c>
      <c r="F886" s="34">
        <f>F887+F888+F889+F890</f>
        <v>2890.63</v>
      </c>
      <c r="G886" s="34" t="s">
        <v>871</v>
      </c>
      <c r="H886" s="34">
        <f>H887+H888+H889+H890</f>
        <v>2890.63</v>
      </c>
    </row>
    <row r="887" spans="1:8" ht="38.25" x14ac:dyDescent="0.25">
      <c r="A887" s="4"/>
      <c r="B887" s="5"/>
      <c r="C887" s="35" t="s">
        <v>38</v>
      </c>
      <c r="D887" s="33" t="s">
        <v>1151</v>
      </c>
      <c r="E887" s="34">
        <f>321.5</f>
        <v>321.5</v>
      </c>
      <c r="F887" s="34">
        <f>321.5</f>
        <v>321.5</v>
      </c>
      <c r="G887" s="34" t="s">
        <v>446</v>
      </c>
      <c r="H887" s="34">
        <f>321.5</f>
        <v>321.5</v>
      </c>
    </row>
    <row r="888" spans="1:8" ht="102" x14ac:dyDescent="0.25">
      <c r="A888" s="4"/>
      <c r="B888" s="5"/>
      <c r="C888" s="35" t="s">
        <v>40</v>
      </c>
      <c r="D888" s="33" t="s">
        <v>1152</v>
      </c>
      <c r="E888" s="34">
        <f>305.91</f>
        <v>305.91000000000003</v>
      </c>
      <c r="F888" s="34">
        <f>305.91</f>
        <v>305.91000000000003</v>
      </c>
      <c r="G888" s="34" t="s">
        <v>446</v>
      </c>
      <c r="H888" s="34">
        <f>305.91</f>
        <v>305.91000000000003</v>
      </c>
    </row>
    <row r="889" spans="1:8" ht="63.75" x14ac:dyDescent="0.25">
      <c r="A889" s="4"/>
      <c r="B889" s="5"/>
      <c r="C889" s="35" t="s">
        <v>42</v>
      </c>
      <c r="D889" s="33" t="s">
        <v>1153</v>
      </c>
      <c r="E889" s="34">
        <f>628.02</f>
        <v>628.02</v>
      </c>
      <c r="F889" s="34">
        <f>613.27</f>
        <v>613.27</v>
      </c>
      <c r="G889" s="34" t="s">
        <v>1154</v>
      </c>
      <c r="H889" s="34">
        <f>613.27</f>
        <v>613.27</v>
      </c>
    </row>
    <row r="890" spans="1:8" ht="51" x14ac:dyDescent="0.25">
      <c r="A890" s="4"/>
      <c r="B890" s="5"/>
      <c r="C890" s="35" t="s">
        <v>344</v>
      </c>
      <c r="D890" s="33" t="s">
        <v>1155</v>
      </c>
      <c r="E890" s="34">
        <f>359.69+1290.27</f>
        <v>1649.96</v>
      </c>
      <c r="F890" s="34">
        <f>359.69+1290.26</f>
        <v>1649.95</v>
      </c>
      <c r="G890" s="34" t="s">
        <v>446</v>
      </c>
      <c r="H890" s="34">
        <f>359.69+1290.26</f>
        <v>1649.95</v>
      </c>
    </row>
    <row r="891" spans="1:8" ht="51" x14ac:dyDescent="0.25">
      <c r="A891" s="4"/>
      <c r="B891" s="5"/>
      <c r="C891" s="33" t="s">
        <v>19</v>
      </c>
      <c r="D891" s="33" t="s">
        <v>1156</v>
      </c>
      <c r="E891" s="34">
        <f>E892+E893+E894+E895</f>
        <v>0</v>
      </c>
      <c r="F891" s="34">
        <f>F892+F893+F894+F895</f>
        <v>0</v>
      </c>
      <c r="G891" s="34" t="s">
        <v>18</v>
      </c>
      <c r="H891" s="34">
        <f>H892+H893+H894+H895</f>
        <v>0</v>
      </c>
    </row>
    <row r="892" spans="1:8" ht="51" x14ac:dyDescent="0.25">
      <c r="A892" s="4"/>
      <c r="B892" s="5"/>
      <c r="C892" s="35" t="s">
        <v>195</v>
      </c>
      <c r="D892" s="33" t="s">
        <v>1157</v>
      </c>
      <c r="E892" s="34">
        <f>0</f>
        <v>0</v>
      </c>
      <c r="F892" s="34">
        <f>0</f>
        <v>0</v>
      </c>
      <c r="G892" s="34" t="s">
        <v>18</v>
      </c>
      <c r="H892" s="34">
        <f>0</f>
        <v>0</v>
      </c>
    </row>
    <row r="893" spans="1:8" ht="63.75" x14ac:dyDescent="0.25">
      <c r="A893" s="4"/>
      <c r="B893" s="5"/>
      <c r="C893" s="35" t="s">
        <v>284</v>
      </c>
      <c r="D893" s="33" t="s">
        <v>1158</v>
      </c>
      <c r="E893" s="34">
        <f>0</f>
        <v>0</v>
      </c>
      <c r="F893" s="34">
        <f>0</f>
        <v>0</v>
      </c>
      <c r="G893" s="34" t="s">
        <v>18</v>
      </c>
      <c r="H893" s="34">
        <f>0</f>
        <v>0</v>
      </c>
    </row>
    <row r="894" spans="1:8" ht="51" x14ac:dyDescent="0.25">
      <c r="A894" s="4"/>
      <c r="B894" s="5"/>
      <c r="C894" s="35" t="s">
        <v>375</v>
      </c>
      <c r="D894" s="33" t="s">
        <v>1159</v>
      </c>
      <c r="E894" s="34">
        <f>0</f>
        <v>0</v>
      </c>
      <c r="F894" s="34">
        <f>0</f>
        <v>0</v>
      </c>
      <c r="G894" s="34" t="s">
        <v>18</v>
      </c>
      <c r="H894" s="34">
        <f>0</f>
        <v>0</v>
      </c>
    </row>
    <row r="895" spans="1:8" ht="76.5" x14ac:dyDescent="0.25">
      <c r="A895" s="4"/>
      <c r="B895" s="5"/>
      <c r="C895" s="35" t="s">
        <v>509</v>
      </c>
      <c r="D895" s="33" t="s">
        <v>1160</v>
      </c>
      <c r="E895" s="34">
        <f>0</f>
        <v>0</v>
      </c>
      <c r="F895" s="34">
        <f>0</f>
        <v>0</v>
      </c>
      <c r="G895" s="34" t="s">
        <v>18</v>
      </c>
      <c r="H895" s="34">
        <f>0</f>
        <v>0</v>
      </c>
    </row>
    <row r="896" spans="1:8" ht="51" x14ac:dyDescent="0.25">
      <c r="A896" s="4"/>
      <c r="B896" s="5"/>
      <c r="C896" s="33" t="s">
        <v>21</v>
      </c>
      <c r="D896" s="33" t="s">
        <v>1161</v>
      </c>
      <c r="E896" s="34">
        <f>E897</f>
        <v>0</v>
      </c>
      <c r="F896" s="34">
        <f>F897</f>
        <v>0</v>
      </c>
      <c r="G896" s="34" t="s">
        <v>18</v>
      </c>
      <c r="H896" s="34">
        <f>H897</f>
        <v>0</v>
      </c>
    </row>
    <row r="897" spans="1:8" ht="51" x14ac:dyDescent="0.25">
      <c r="A897" s="4"/>
      <c r="B897" s="5"/>
      <c r="C897" s="35" t="s">
        <v>203</v>
      </c>
      <c r="D897" s="33" t="s">
        <v>1162</v>
      </c>
      <c r="E897" s="34">
        <f>0</f>
        <v>0</v>
      </c>
      <c r="F897" s="34">
        <f>0</f>
        <v>0</v>
      </c>
      <c r="G897" s="34" t="s">
        <v>18</v>
      </c>
      <c r="H897" s="34">
        <f>0</f>
        <v>0</v>
      </c>
    </row>
    <row r="898" spans="1:8" ht="114.75" x14ac:dyDescent="0.25">
      <c r="A898" s="4"/>
      <c r="B898" s="5"/>
      <c r="C898" s="30" t="s">
        <v>23</v>
      </c>
      <c r="D898" s="30" t="s">
        <v>1163</v>
      </c>
      <c r="E898" s="31">
        <f>E899+E902+E909</f>
        <v>56989.930000000008</v>
      </c>
      <c r="F898" s="31">
        <f>F899+F902+F909</f>
        <v>56895.310000000005</v>
      </c>
      <c r="G898" s="31" t="s">
        <v>527</v>
      </c>
      <c r="H898" s="31">
        <f>H899+H902+H909</f>
        <v>56895.310000000005</v>
      </c>
    </row>
    <row r="899" spans="1:8" ht="76.5" x14ac:dyDescent="0.25">
      <c r="A899" s="4"/>
      <c r="B899" s="5"/>
      <c r="C899" s="33" t="s">
        <v>26</v>
      </c>
      <c r="D899" s="33" t="s">
        <v>1164</v>
      </c>
      <c r="E899" s="34">
        <f>E900+E901</f>
        <v>0</v>
      </c>
      <c r="F899" s="34">
        <f>F900+F901</f>
        <v>0</v>
      </c>
      <c r="G899" s="34" t="s">
        <v>18</v>
      </c>
      <c r="H899" s="34">
        <f>H900+H901</f>
        <v>0</v>
      </c>
    </row>
    <row r="900" spans="1:8" ht="76.5" x14ac:dyDescent="0.25">
      <c r="A900" s="4"/>
      <c r="B900" s="5"/>
      <c r="C900" s="35" t="s">
        <v>216</v>
      </c>
      <c r="D900" s="33" t="s">
        <v>1165</v>
      </c>
      <c r="E900" s="34">
        <f>0</f>
        <v>0</v>
      </c>
      <c r="F900" s="34">
        <f>0</f>
        <v>0</v>
      </c>
      <c r="G900" s="34" t="s">
        <v>18</v>
      </c>
      <c r="H900" s="34">
        <f>0</f>
        <v>0</v>
      </c>
    </row>
    <row r="901" spans="1:8" ht="63.75" x14ac:dyDescent="0.25">
      <c r="A901" s="4"/>
      <c r="B901" s="5"/>
      <c r="C901" s="35" t="s">
        <v>218</v>
      </c>
      <c r="D901" s="33" t="s">
        <v>1166</v>
      </c>
      <c r="E901" s="34">
        <f>0</f>
        <v>0</v>
      </c>
      <c r="F901" s="34">
        <f>0</f>
        <v>0</v>
      </c>
      <c r="G901" s="34" t="s">
        <v>18</v>
      </c>
      <c r="H901" s="34">
        <f>0</f>
        <v>0</v>
      </c>
    </row>
    <row r="902" spans="1:8" ht="38.25" x14ac:dyDescent="0.25">
      <c r="A902" s="4"/>
      <c r="B902" s="5"/>
      <c r="C902" s="33" t="s">
        <v>28</v>
      </c>
      <c r="D902" s="33" t="s">
        <v>1167</v>
      </c>
      <c r="E902" s="34">
        <f>E903+E904+E905+E907+E908</f>
        <v>56989.930000000008</v>
      </c>
      <c r="F902" s="34">
        <f>F903+F904+F905+F907+F908</f>
        <v>56895.310000000005</v>
      </c>
      <c r="G902" s="34" t="s">
        <v>527</v>
      </c>
      <c r="H902" s="34">
        <f>H903+H904+H905+H907+H908</f>
        <v>56895.310000000005</v>
      </c>
    </row>
    <row r="903" spans="1:8" ht="38.25" x14ac:dyDescent="0.25">
      <c r="A903" s="4"/>
      <c r="B903" s="5"/>
      <c r="C903" s="35" t="s">
        <v>1168</v>
      </c>
      <c r="D903" s="33" t="s">
        <v>1169</v>
      </c>
      <c r="E903" s="34">
        <f>50306.66</f>
        <v>50306.66</v>
      </c>
      <c r="F903" s="34">
        <f>50306.64</f>
        <v>50306.64</v>
      </c>
      <c r="G903" s="34" t="s">
        <v>446</v>
      </c>
      <c r="H903" s="34">
        <f>50306.64</f>
        <v>50306.64</v>
      </c>
    </row>
    <row r="904" spans="1:8" ht="165.75" x14ac:dyDescent="0.25">
      <c r="A904" s="4"/>
      <c r="B904" s="5"/>
      <c r="C904" s="35" t="s">
        <v>1170</v>
      </c>
      <c r="D904" s="33" t="s">
        <v>1171</v>
      </c>
      <c r="E904" s="34">
        <f>0</f>
        <v>0</v>
      </c>
      <c r="F904" s="34">
        <f>0</f>
        <v>0</v>
      </c>
      <c r="G904" s="34" t="s">
        <v>18</v>
      </c>
      <c r="H904" s="34">
        <f>0</f>
        <v>0</v>
      </c>
    </row>
    <row r="905" spans="1:8" ht="38.25" x14ac:dyDescent="0.25">
      <c r="A905" s="4"/>
      <c r="B905" s="5"/>
      <c r="C905" s="35" t="s">
        <v>1172</v>
      </c>
      <c r="D905" s="33" t="s">
        <v>1173</v>
      </c>
      <c r="E905" s="34">
        <f>E906</f>
        <v>4657.2700000000004</v>
      </c>
      <c r="F905" s="34">
        <f>F906</f>
        <v>4657.2700000000004</v>
      </c>
      <c r="G905" s="34" t="s">
        <v>446</v>
      </c>
      <c r="H905" s="34">
        <f>H906</f>
        <v>4657.2700000000004</v>
      </c>
    </row>
    <row r="906" spans="1:8" ht="38.25" x14ac:dyDescent="0.25">
      <c r="A906" s="4"/>
      <c r="B906" s="5"/>
      <c r="C906" s="35" t="s">
        <v>1174</v>
      </c>
      <c r="D906" s="33" t="s">
        <v>1175</v>
      </c>
      <c r="E906" s="34">
        <f>4657.27</f>
        <v>4657.2700000000004</v>
      </c>
      <c r="F906" s="34">
        <f>4657.27</f>
        <v>4657.2700000000004</v>
      </c>
      <c r="G906" s="34" t="s">
        <v>446</v>
      </c>
      <c r="H906" s="34">
        <f>4657.27</f>
        <v>4657.2700000000004</v>
      </c>
    </row>
    <row r="907" spans="1:8" ht="63.75" x14ac:dyDescent="0.25">
      <c r="A907" s="4"/>
      <c r="B907" s="5"/>
      <c r="C907" s="35" t="s">
        <v>1176</v>
      </c>
      <c r="D907" s="33" t="s">
        <v>1177</v>
      </c>
      <c r="E907" s="34">
        <f>82+1548</f>
        <v>1630</v>
      </c>
      <c r="F907" s="34">
        <f>82+1548</f>
        <v>1630</v>
      </c>
      <c r="G907" s="34" t="s">
        <v>446</v>
      </c>
      <c r="H907" s="34">
        <f>82+1548</f>
        <v>1630</v>
      </c>
    </row>
    <row r="908" spans="1:8" ht="127.5" x14ac:dyDescent="0.25">
      <c r="A908" s="4"/>
      <c r="B908" s="5"/>
      <c r="C908" s="35" t="s">
        <v>1178</v>
      </c>
      <c r="D908" s="33" t="s">
        <v>1179</v>
      </c>
      <c r="E908" s="34">
        <f>4+392</f>
        <v>396</v>
      </c>
      <c r="F908" s="34">
        <f>3.01+298.39</f>
        <v>301.39999999999998</v>
      </c>
      <c r="G908" s="34" t="s">
        <v>1180</v>
      </c>
      <c r="H908" s="34">
        <f>3.01+298.39</f>
        <v>301.39999999999998</v>
      </c>
    </row>
    <row r="909" spans="1:8" ht="102" x14ac:dyDescent="0.25">
      <c r="A909" s="4"/>
      <c r="B909" s="5"/>
      <c r="C909" s="33" t="s">
        <v>30</v>
      </c>
      <c r="D909" s="33" t="s">
        <v>1181</v>
      </c>
      <c r="E909" s="34">
        <f>E910</f>
        <v>0</v>
      </c>
      <c r="F909" s="34">
        <f>F910</f>
        <v>0</v>
      </c>
      <c r="G909" s="34" t="s">
        <v>18</v>
      </c>
      <c r="H909" s="34">
        <f>H910</f>
        <v>0</v>
      </c>
    </row>
    <row r="910" spans="1:8" ht="114.75" x14ac:dyDescent="0.25">
      <c r="A910" s="4"/>
      <c r="B910" s="5"/>
      <c r="C910" s="35" t="s">
        <v>173</v>
      </c>
      <c r="D910" s="33" t="s">
        <v>1182</v>
      </c>
      <c r="E910" s="34">
        <f>0</f>
        <v>0</v>
      </c>
      <c r="F910" s="34">
        <f>0</f>
        <v>0</v>
      </c>
      <c r="G910" s="34" t="s">
        <v>18</v>
      </c>
      <c r="H910" s="34">
        <f>0</f>
        <v>0</v>
      </c>
    </row>
    <row r="911" spans="1:8" ht="15.75" x14ac:dyDescent="0.25">
      <c r="A911" s="4"/>
      <c r="B911" s="5"/>
      <c r="C911" s="9" t="s">
        <v>90</v>
      </c>
      <c r="D911" s="9"/>
      <c r="E911" s="12">
        <f>E876+E898</f>
        <v>82665.440000000002</v>
      </c>
      <c r="F911" s="12">
        <f>F876+F898</f>
        <v>82281.710000000006</v>
      </c>
      <c r="G911" s="12" t="s">
        <v>718</v>
      </c>
      <c r="H911" s="12">
        <f>H876+H898</f>
        <v>82281.710000000006</v>
      </c>
    </row>
    <row r="912" spans="1:8" ht="51" x14ac:dyDescent="0.25">
      <c r="A912" s="4">
        <v>14</v>
      </c>
      <c r="B912" s="5" t="s">
        <v>1183</v>
      </c>
      <c r="C912" s="30" t="s">
        <v>10</v>
      </c>
      <c r="D912" s="30" t="s">
        <v>1184</v>
      </c>
      <c r="E912" s="31">
        <f>E913+E921</f>
        <v>27901.18</v>
      </c>
      <c r="F912" s="31">
        <f>F913+F921</f>
        <v>27900.149999999998</v>
      </c>
      <c r="G912" s="31" t="s">
        <v>446</v>
      </c>
      <c r="H912" s="31">
        <f>H913+H921</f>
        <v>27900.149999999998</v>
      </c>
    </row>
    <row r="913" spans="1:8" ht="102" x14ac:dyDescent="0.25">
      <c r="A913" s="4"/>
      <c r="B913" s="5"/>
      <c r="C913" s="33" t="s">
        <v>12</v>
      </c>
      <c r="D913" s="33" t="s">
        <v>1185</v>
      </c>
      <c r="E913" s="34">
        <f>E914+E915+E916+E917+E918+E919+E920</f>
        <v>23263.850000000002</v>
      </c>
      <c r="F913" s="34">
        <f>F914+F915+F916+F917+F918+F919+F920</f>
        <v>23262.829999999998</v>
      </c>
      <c r="G913" s="34" t="s">
        <v>446</v>
      </c>
      <c r="H913" s="34">
        <f>H914+H915+H916+H917+H918+H919+H920</f>
        <v>23262.829999999998</v>
      </c>
    </row>
    <row r="914" spans="1:8" ht="127.5" x14ac:dyDescent="0.25">
      <c r="A914" s="4"/>
      <c r="B914" s="5"/>
      <c r="C914" s="35" t="s">
        <v>26</v>
      </c>
      <c r="D914" s="33" t="s">
        <v>1186</v>
      </c>
      <c r="E914" s="34">
        <f>3544.36</f>
        <v>3544.36</v>
      </c>
      <c r="F914" s="34">
        <f>3544.35</f>
        <v>3544.35</v>
      </c>
      <c r="G914" s="34" t="s">
        <v>446</v>
      </c>
      <c r="H914" s="34">
        <f>3544.35</f>
        <v>3544.35</v>
      </c>
    </row>
    <row r="915" spans="1:8" ht="102" x14ac:dyDescent="0.25">
      <c r="A915" s="4"/>
      <c r="B915" s="5"/>
      <c r="C915" s="35" t="s">
        <v>28</v>
      </c>
      <c r="D915" s="33" t="s">
        <v>1187</v>
      </c>
      <c r="E915" s="34">
        <f>0</f>
        <v>0</v>
      </c>
      <c r="F915" s="34">
        <f>0</f>
        <v>0</v>
      </c>
      <c r="G915" s="34" t="s">
        <v>18</v>
      </c>
      <c r="H915" s="34">
        <f>0</f>
        <v>0</v>
      </c>
    </row>
    <row r="916" spans="1:8" ht="102" x14ac:dyDescent="0.25">
      <c r="A916" s="4"/>
      <c r="B916" s="5"/>
      <c r="C916" s="35" t="s">
        <v>30</v>
      </c>
      <c r="D916" s="33" t="s">
        <v>1188</v>
      </c>
      <c r="E916" s="34">
        <f>17459.89</f>
        <v>17459.89</v>
      </c>
      <c r="F916" s="34">
        <f>17459.88</f>
        <v>17459.88</v>
      </c>
      <c r="G916" s="34" t="s">
        <v>446</v>
      </c>
      <c r="H916" s="34">
        <f>17459.88</f>
        <v>17459.88</v>
      </c>
    </row>
    <row r="917" spans="1:8" ht="153" x14ac:dyDescent="0.25">
      <c r="A917" s="4"/>
      <c r="B917" s="5"/>
      <c r="C917" s="35" t="s">
        <v>87</v>
      </c>
      <c r="D917" s="33" t="s">
        <v>1189</v>
      </c>
      <c r="E917" s="34">
        <f>40</f>
        <v>40</v>
      </c>
      <c r="F917" s="34">
        <f>39.01</f>
        <v>39.01</v>
      </c>
      <c r="G917" s="34" t="s">
        <v>1190</v>
      </c>
      <c r="H917" s="34">
        <f>39.01</f>
        <v>39.01</v>
      </c>
    </row>
    <row r="918" spans="1:8" ht="153" x14ac:dyDescent="0.25">
      <c r="A918" s="4"/>
      <c r="B918" s="5"/>
      <c r="C918" s="35" t="s">
        <v>89</v>
      </c>
      <c r="D918" s="33" t="s">
        <v>1191</v>
      </c>
      <c r="E918" s="34">
        <f>1482.4</f>
        <v>1482.4</v>
      </c>
      <c r="F918" s="34">
        <f>1482.4</f>
        <v>1482.4</v>
      </c>
      <c r="G918" s="34" t="s">
        <v>446</v>
      </c>
      <c r="H918" s="34">
        <f>1482.4</f>
        <v>1482.4</v>
      </c>
    </row>
    <row r="919" spans="1:8" ht="76.5" x14ac:dyDescent="0.25">
      <c r="A919" s="4"/>
      <c r="B919" s="5"/>
      <c r="C919" s="35" t="s">
        <v>98</v>
      </c>
      <c r="D919" s="33" t="s">
        <v>1192</v>
      </c>
      <c r="E919" s="34">
        <f>0</f>
        <v>0</v>
      </c>
      <c r="F919" s="34">
        <f>0</f>
        <v>0</v>
      </c>
      <c r="G919" s="34" t="s">
        <v>18</v>
      </c>
      <c r="H919" s="34">
        <f>0</f>
        <v>0</v>
      </c>
    </row>
    <row r="920" spans="1:8" ht="63.75" x14ac:dyDescent="0.25">
      <c r="A920" s="4"/>
      <c r="B920" s="5"/>
      <c r="C920" s="35" t="s">
        <v>100</v>
      </c>
      <c r="D920" s="33" t="s">
        <v>1193</v>
      </c>
      <c r="E920" s="34">
        <f>737.2</f>
        <v>737.2</v>
      </c>
      <c r="F920" s="34">
        <f>737.19</f>
        <v>737.19</v>
      </c>
      <c r="G920" s="34" t="s">
        <v>446</v>
      </c>
      <c r="H920" s="34">
        <f>737.19</f>
        <v>737.19</v>
      </c>
    </row>
    <row r="921" spans="1:8" ht="38.25" x14ac:dyDescent="0.25">
      <c r="A921" s="4"/>
      <c r="B921" s="5"/>
      <c r="C921" s="33" t="s">
        <v>14</v>
      </c>
      <c r="D921" s="33" t="s">
        <v>1194</v>
      </c>
      <c r="E921" s="34">
        <f>E922+E923+E924</f>
        <v>4637.33</v>
      </c>
      <c r="F921" s="34">
        <f>F922+F923+F924</f>
        <v>4637.32</v>
      </c>
      <c r="G921" s="34" t="s">
        <v>446</v>
      </c>
      <c r="H921" s="34">
        <f>H922+H923+H924</f>
        <v>4637.32</v>
      </c>
    </row>
    <row r="922" spans="1:8" ht="102" x14ac:dyDescent="0.25">
      <c r="A922" s="4"/>
      <c r="B922" s="5"/>
      <c r="C922" s="35" t="s">
        <v>33</v>
      </c>
      <c r="D922" s="33" t="s">
        <v>1195</v>
      </c>
      <c r="E922" s="34">
        <f>148.76</f>
        <v>148.76</v>
      </c>
      <c r="F922" s="34">
        <f>148.75</f>
        <v>148.75</v>
      </c>
      <c r="G922" s="34" t="s">
        <v>446</v>
      </c>
      <c r="H922" s="34">
        <f>148.75</f>
        <v>148.75</v>
      </c>
    </row>
    <row r="923" spans="1:8" ht="153" x14ac:dyDescent="0.25">
      <c r="A923" s="4"/>
      <c r="B923" s="5"/>
      <c r="C923" s="35" t="s">
        <v>35</v>
      </c>
      <c r="D923" s="33" t="s">
        <v>1196</v>
      </c>
      <c r="E923" s="34">
        <f>3842.57</f>
        <v>3842.57</v>
      </c>
      <c r="F923" s="34">
        <f>3842.57</f>
        <v>3842.57</v>
      </c>
      <c r="G923" s="34" t="s">
        <v>446</v>
      </c>
      <c r="H923" s="34">
        <f>3842.57</f>
        <v>3842.57</v>
      </c>
    </row>
    <row r="924" spans="1:8" ht="76.5" x14ac:dyDescent="0.25">
      <c r="A924" s="4"/>
      <c r="B924" s="5"/>
      <c r="C924" s="35" t="s">
        <v>276</v>
      </c>
      <c r="D924" s="33" t="s">
        <v>1197</v>
      </c>
      <c r="E924" s="34">
        <f>646</f>
        <v>646</v>
      </c>
      <c r="F924" s="34">
        <f>646</f>
        <v>646</v>
      </c>
      <c r="G924" s="34" t="s">
        <v>446</v>
      </c>
      <c r="H924" s="34">
        <f>646</f>
        <v>646</v>
      </c>
    </row>
    <row r="925" spans="1:8" ht="17.25" customHeight="1" x14ac:dyDescent="0.25">
      <c r="A925" s="4"/>
      <c r="B925" s="5"/>
      <c r="C925" s="9" t="s">
        <v>90</v>
      </c>
      <c r="D925" s="9"/>
      <c r="E925" s="12">
        <f>E912</f>
        <v>27901.18</v>
      </c>
      <c r="F925" s="12">
        <f>F912</f>
        <v>27900.149999999998</v>
      </c>
      <c r="G925" s="10" t="s">
        <v>446</v>
      </c>
      <c r="H925" s="12">
        <f>H912</f>
        <v>27900.149999999998</v>
      </c>
    </row>
    <row r="926" spans="1:8" x14ac:dyDescent="0.25">
      <c r="H926" s="13"/>
    </row>
    <row r="927" spans="1:8" x14ac:dyDescent="0.25">
      <c r="H927" s="13"/>
    </row>
    <row r="928" spans="1:8" x14ac:dyDescent="0.25">
      <c r="H928" s="13"/>
    </row>
    <row r="929" spans="8:8" x14ac:dyDescent="0.25">
      <c r="H929" s="13"/>
    </row>
    <row r="930" spans="8:8" x14ac:dyDescent="0.25">
      <c r="H930" s="13"/>
    </row>
    <row r="931" spans="8:8" x14ac:dyDescent="0.25">
      <c r="H931" s="13"/>
    </row>
    <row r="932" spans="8:8" x14ac:dyDescent="0.25">
      <c r="H932" s="13"/>
    </row>
    <row r="933" spans="8:8" x14ac:dyDescent="0.25">
      <c r="H933" s="13"/>
    </row>
    <row r="934" spans="8:8" x14ac:dyDescent="0.25">
      <c r="H934" s="13"/>
    </row>
    <row r="935" spans="8:8" x14ac:dyDescent="0.25">
      <c r="H935" s="13"/>
    </row>
    <row r="936" spans="8:8" x14ac:dyDescent="0.25">
      <c r="H936" s="13"/>
    </row>
    <row r="937" spans="8:8" x14ac:dyDescent="0.25">
      <c r="H937" s="13"/>
    </row>
    <row r="938" spans="8:8" x14ac:dyDescent="0.25">
      <c r="H938" s="13"/>
    </row>
    <row r="939" spans="8:8" x14ac:dyDescent="0.25">
      <c r="H939" s="13"/>
    </row>
    <row r="940" spans="8:8" x14ac:dyDescent="0.25">
      <c r="H940" s="13"/>
    </row>
    <row r="941" spans="8:8" x14ac:dyDescent="0.25">
      <c r="H941" s="13"/>
    </row>
    <row r="942" spans="8:8" x14ac:dyDescent="0.25">
      <c r="H942" s="13"/>
    </row>
    <row r="943" spans="8:8" x14ac:dyDescent="0.25">
      <c r="H943" s="13"/>
    </row>
    <row r="944" spans="8:8" x14ac:dyDescent="0.25">
      <c r="H944" s="13"/>
    </row>
    <row r="945" spans="8:8" x14ac:dyDescent="0.25">
      <c r="H945" s="13"/>
    </row>
    <row r="946" spans="8:8" x14ac:dyDescent="0.25">
      <c r="H946" s="13"/>
    </row>
    <row r="947" spans="8:8" x14ac:dyDescent="0.25">
      <c r="H947" s="13"/>
    </row>
    <row r="948" spans="8:8" x14ac:dyDescent="0.25">
      <c r="H948" s="13"/>
    </row>
    <row r="949" spans="8:8" x14ac:dyDescent="0.25">
      <c r="H949" s="13"/>
    </row>
    <row r="950" spans="8:8" x14ac:dyDescent="0.25">
      <c r="H950" s="13"/>
    </row>
    <row r="951" spans="8:8" x14ac:dyDescent="0.25">
      <c r="H951" s="13"/>
    </row>
    <row r="952" spans="8:8" x14ac:dyDescent="0.25">
      <c r="H952" s="13"/>
    </row>
    <row r="953" spans="8:8" x14ac:dyDescent="0.25">
      <c r="H953" s="13"/>
    </row>
    <row r="954" spans="8:8" x14ac:dyDescent="0.25">
      <c r="H954" s="13"/>
    </row>
    <row r="955" spans="8:8" x14ac:dyDescent="0.25">
      <c r="H955" s="13"/>
    </row>
    <row r="956" spans="8:8" x14ac:dyDescent="0.25">
      <c r="H956" s="13"/>
    </row>
    <row r="957" spans="8:8" x14ac:dyDescent="0.25">
      <c r="H957" s="13"/>
    </row>
    <row r="958" spans="8:8" x14ac:dyDescent="0.25">
      <c r="H958" s="13"/>
    </row>
    <row r="959" spans="8:8" x14ac:dyDescent="0.25">
      <c r="H959" s="13"/>
    </row>
    <row r="960" spans="8:8" x14ac:dyDescent="0.25">
      <c r="H960" s="13"/>
    </row>
    <row r="961" spans="8:8" x14ac:dyDescent="0.25">
      <c r="H961" s="13"/>
    </row>
    <row r="962" spans="8:8" x14ac:dyDescent="0.25">
      <c r="H962" s="13"/>
    </row>
    <row r="963" spans="8:8" x14ac:dyDescent="0.25">
      <c r="H963" s="13"/>
    </row>
    <row r="964" spans="8:8" x14ac:dyDescent="0.25">
      <c r="H964" s="13"/>
    </row>
    <row r="965" spans="8:8" x14ac:dyDescent="0.25">
      <c r="H965" s="13"/>
    </row>
    <row r="966" spans="8:8" x14ac:dyDescent="0.25">
      <c r="H966" s="13"/>
    </row>
    <row r="967" spans="8:8" x14ac:dyDescent="0.25">
      <c r="H967" s="13"/>
    </row>
    <row r="968" spans="8:8" x14ac:dyDescent="0.25">
      <c r="H968" s="13"/>
    </row>
    <row r="969" spans="8:8" x14ac:dyDescent="0.25">
      <c r="H969" s="13"/>
    </row>
    <row r="970" spans="8:8" x14ac:dyDescent="0.25">
      <c r="H970" s="13"/>
    </row>
    <row r="971" spans="8:8" x14ac:dyDescent="0.25">
      <c r="H971" s="13"/>
    </row>
    <row r="972" spans="8:8" x14ac:dyDescent="0.25">
      <c r="H972" s="13"/>
    </row>
    <row r="973" spans="8:8" x14ac:dyDescent="0.25">
      <c r="H973" s="13"/>
    </row>
    <row r="974" spans="8:8" x14ac:dyDescent="0.25">
      <c r="H974" s="13"/>
    </row>
    <row r="975" spans="8:8" x14ac:dyDescent="0.25">
      <c r="H975" s="13"/>
    </row>
    <row r="976" spans="8:8" x14ac:dyDescent="0.25">
      <c r="H976" s="13"/>
    </row>
    <row r="977" spans="8:8" x14ac:dyDescent="0.25">
      <c r="H977" s="13"/>
    </row>
    <row r="978" spans="8:8" x14ac:dyDescent="0.25">
      <c r="H978" s="13"/>
    </row>
    <row r="979" spans="8:8" x14ac:dyDescent="0.25">
      <c r="H979" s="13"/>
    </row>
    <row r="980" spans="8:8" x14ac:dyDescent="0.25">
      <c r="H980" s="13"/>
    </row>
    <row r="981" spans="8:8" x14ac:dyDescent="0.25">
      <c r="H981" s="13"/>
    </row>
    <row r="982" spans="8:8" x14ac:dyDescent="0.25">
      <c r="H982" s="13"/>
    </row>
    <row r="983" spans="8:8" x14ac:dyDescent="0.25">
      <c r="H983" s="13"/>
    </row>
    <row r="984" spans="8:8" x14ac:dyDescent="0.25">
      <c r="H984" s="13"/>
    </row>
    <row r="985" spans="8:8" x14ac:dyDescent="0.25">
      <c r="H985" s="13"/>
    </row>
    <row r="986" spans="8:8" x14ac:dyDescent="0.25">
      <c r="H986" s="13"/>
    </row>
    <row r="987" spans="8:8" x14ac:dyDescent="0.25">
      <c r="H987" s="13"/>
    </row>
    <row r="988" spans="8:8" x14ac:dyDescent="0.25">
      <c r="H988" s="13"/>
    </row>
    <row r="989" spans="8:8" x14ac:dyDescent="0.25">
      <c r="H989" s="13"/>
    </row>
    <row r="990" spans="8:8" x14ac:dyDescent="0.25">
      <c r="H990" s="13"/>
    </row>
    <row r="991" spans="8:8" x14ac:dyDescent="0.25">
      <c r="H991" s="13"/>
    </row>
    <row r="992" spans="8:8" x14ac:dyDescent="0.25">
      <c r="H992" s="13"/>
    </row>
    <row r="993" spans="8:8" x14ac:dyDescent="0.25">
      <c r="H993" s="13"/>
    </row>
    <row r="994" spans="8:8" x14ac:dyDescent="0.25">
      <c r="H994" s="13"/>
    </row>
    <row r="995" spans="8:8" x14ac:dyDescent="0.25">
      <c r="H995" s="13"/>
    </row>
    <row r="996" spans="8:8" x14ac:dyDescent="0.25">
      <c r="H996" s="13"/>
    </row>
    <row r="997" spans="8:8" x14ac:dyDescent="0.25">
      <c r="H997" s="13"/>
    </row>
    <row r="998" spans="8:8" x14ac:dyDescent="0.25">
      <c r="H998" s="13"/>
    </row>
    <row r="999" spans="8:8" x14ac:dyDescent="0.25">
      <c r="H999" s="13"/>
    </row>
    <row r="1000" spans="8:8" x14ac:dyDescent="0.25">
      <c r="H1000" s="13"/>
    </row>
    <row r="1001" spans="8:8" x14ac:dyDescent="0.25">
      <c r="H1001" s="13"/>
    </row>
    <row r="1002" spans="8:8" x14ac:dyDescent="0.25">
      <c r="H1002" s="13"/>
    </row>
    <row r="1003" spans="8:8" x14ac:dyDescent="0.25">
      <c r="H1003" s="13"/>
    </row>
    <row r="1004" spans="8:8" x14ac:dyDescent="0.25">
      <c r="H1004" s="13"/>
    </row>
    <row r="1005" spans="8:8" x14ac:dyDescent="0.25">
      <c r="H1005" s="13"/>
    </row>
    <row r="1006" spans="8:8" x14ac:dyDescent="0.25">
      <c r="H1006" s="13"/>
    </row>
    <row r="1007" spans="8:8" x14ac:dyDescent="0.25">
      <c r="H1007" s="13"/>
    </row>
    <row r="1008" spans="8:8" x14ac:dyDescent="0.25">
      <c r="H1008" s="13"/>
    </row>
    <row r="1009" spans="8:8" x14ac:dyDescent="0.25">
      <c r="H1009" s="13"/>
    </row>
    <row r="1010" spans="8:8" x14ac:dyDescent="0.25">
      <c r="H1010" s="13"/>
    </row>
    <row r="1011" spans="8:8" x14ac:dyDescent="0.25">
      <c r="H1011" s="13"/>
    </row>
    <row r="1012" spans="8:8" x14ac:dyDescent="0.25">
      <c r="H1012" s="13"/>
    </row>
    <row r="1013" spans="8:8" x14ac:dyDescent="0.25">
      <c r="H1013" s="13"/>
    </row>
    <row r="1014" spans="8:8" x14ac:dyDescent="0.25">
      <c r="H1014" s="13"/>
    </row>
    <row r="1015" spans="8:8" x14ac:dyDescent="0.25">
      <c r="H1015" s="13"/>
    </row>
    <row r="1016" spans="8:8" x14ac:dyDescent="0.25">
      <c r="H1016" s="13"/>
    </row>
    <row r="1017" spans="8:8" x14ac:dyDescent="0.25">
      <c r="H1017" s="13"/>
    </row>
    <row r="1018" spans="8:8" x14ac:dyDescent="0.25">
      <c r="H1018" s="13"/>
    </row>
    <row r="1019" spans="8:8" x14ac:dyDescent="0.25">
      <c r="H1019" s="13"/>
    </row>
    <row r="1020" spans="8:8" x14ac:dyDescent="0.25">
      <c r="H1020" s="13"/>
    </row>
    <row r="1021" spans="8:8" x14ac:dyDescent="0.25">
      <c r="H1021" s="13"/>
    </row>
    <row r="1022" spans="8:8" x14ac:dyDescent="0.25">
      <c r="H1022" s="13"/>
    </row>
    <row r="1023" spans="8:8" x14ac:dyDescent="0.25">
      <c r="H1023" s="13"/>
    </row>
    <row r="1024" spans="8:8" x14ac:dyDescent="0.25">
      <c r="H1024" s="13"/>
    </row>
    <row r="1025" spans="8:8" x14ac:dyDescent="0.25">
      <c r="H1025" s="13"/>
    </row>
    <row r="1026" spans="8:8" x14ac:dyDescent="0.25">
      <c r="H1026" s="13"/>
    </row>
    <row r="1027" spans="8:8" x14ac:dyDescent="0.25">
      <c r="H1027" s="13"/>
    </row>
    <row r="1028" spans="8:8" x14ac:dyDescent="0.25">
      <c r="H1028" s="13"/>
    </row>
    <row r="1029" spans="8:8" x14ac:dyDescent="0.25">
      <c r="H1029" s="13"/>
    </row>
    <row r="1030" spans="8:8" x14ac:dyDescent="0.25">
      <c r="H1030" s="13"/>
    </row>
    <row r="1031" spans="8:8" x14ac:dyDescent="0.25">
      <c r="H1031" s="13"/>
    </row>
    <row r="1032" spans="8:8" x14ac:dyDescent="0.25">
      <c r="H1032" s="13"/>
    </row>
    <row r="1033" spans="8:8" x14ac:dyDescent="0.25">
      <c r="H1033" s="13"/>
    </row>
    <row r="1034" spans="8:8" x14ac:dyDescent="0.25">
      <c r="H1034" s="13"/>
    </row>
    <row r="1035" spans="8:8" x14ac:dyDescent="0.25">
      <c r="H1035" s="13"/>
    </row>
    <row r="1036" spans="8:8" x14ac:dyDescent="0.25">
      <c r="H1036" s="13"/>
    </row>
    <row r="1037" spans="8:8" x14ac:dyDescent="0.25">
      <c r="H1037" s="13"/>
    </row>
    <row r="1038" spans="8:8" x14ac:dyDescent="0.25">
      <c r="H1038" s="13"/>
    </row>
    <row r="1039" spans="8:8" x14ac:dyDescent="0.25">
      <c r="H1039" s="13"/>
    </row>
    <row r="1040" spans="8:8" x14ac:dyDescent="0.25">
      <c r="H1040" s="13"/>
    </row>
    <row r="1041" spans="8:8" x14ac:dyDescent="0.25">
      <c r="H1041" s="13"/>
    </row>
    <row r="1042" spans="8:8" x14ac:dyDescent="0.25">
      <c r="H1042" s="13"/>
    </row>
    <row r="1043" spans="8:8" x14ac:dyDescent="0.25">
      <c r="H1043" s="13"/>
    </row>
    <row r="1044" spans="8:8" x14ac:dyDescent="0.25">
      <c r="H1044" s="13"/>
    </row>
    <row r="1045" spans="8:8" x14ac:dyDescent="0.25">
      <c r="H1045" s="13"/>
    </row>
    <row r="1046" spans="8:8" x14ac:dyDescent="0.25">
      <c r="H1046" s="13"/>
    </row>
    <row r="1047" spans="8:8" x14ac:dyDescent="0.25">
      <c r="H1047" s="13"/>
    </row>
    <row r="1048" spans="8:8" x14ac:dyDescent="0.25">
      <c r="H1048" s="13"/>
    </row>
    <row r="1049" spans="8:8" x14ac:dyDescent="0.25">
      <c r="H1049" s="13"/>
    </row>
    <row r="1050" spans="8:8" x14ac:dyDescent="0.25">
      <c r="H1050" s="13"/>
    </row>
    <row r="1051" spans="8:8" x14ac:dyDescent="0.25">
      <c r="H1051" s="13"/>
    </row>
    <row r="1052" spans="8:8" x14ac:dyDescent="0.25">
      <c r="H1052" s="13"/>
    </row>
    <row r="1053" spans="8:8" x14ac:dyDescent="0.25">
      <c r="H1053" s="13"/>
    </row>
    <row r="1054" spans="8:8" x14ac:dyDescent="0.25">
      <c r="H1054" s="13"/>
    </row>
    <row r="1055" spans="8:8" x14ac:dyDescent="0.25">
      <c r="H1055" s="13"/>
    </row>
    <row r="1056" spans="8:8" x14ac:dyDescent="0.25">
      <c r="H1056" s="13"/>
    </row>
    <row r="1057" spans="8:8" x14ac:dyDescent="0.25">
      <c r="H1057" s="13"/>
    </row>
    <row r="1058" spans="8:8" x14ac:dyDescent="0.25">
      <c r="H1058" s="13"/>
    </row>
    <row r="1059" spans="8:8" x14ac:dyDescent="0.25">
      <c r="H1059" s="13"/>
    </row>
    <row r="1060" spans="8:8" x14ac:dyDescent="0.25">
      <c r="H1060" s="13"/>
    </row>
    <row r="1061" spans="8:8" x14ac:dyDescent="0.25">
      <c r="H1061" s="13"/>
    </row>
    <row r="1062" spans="8:8" x14ac:dyDescent="0.25">
      <c r="H1062" s="13"/>
    </row>
    <row r="1063" spans="8:8" x14ac:dyDescent="0.25">
      <c r="H1063" s="13"/>
    </row>
    <row r="1064" spans="8:8" x14ac:dyDescent="0.25">
      <c r="H1064" s="13"/>
    </row>
    <row r="1065" spans="8:8" x14ac:dyDescent="0.25">
      <c r="H1065" s="13"/>
    </row>
    <row r="1066" spans="8:8" x14ac:dyDescent="0.25">
      <c r="H1066" s="13"/>
    </row>
    <row r="1067" spans="8:8" x14ac:dyDescent="0.25">
      <c r="H1067" s="13"/>
    </row>
    <row r="1068" spans="8:8" x14ac:dyDescent="0.25">
      <c r="H1068" s="13"/>
    </row>
    <row r="1069" spans="8:8" x14ac:dyDescent="0.25">
      <c r="H1069" s="13"/>
    </row>
    <row r="1070" spans="8:8" x14ac:dyDescent="0.25">
      <c r="H1070" s="13"/>
    </row>
    <row r="1071" spans="8:8" x14ac:dyDescent="0.25">
      <c r="H1071" s="13"/>
    </row>
    <row r="1072" spans="8:8" x14ac:dyDescent="0.25">
      <c r="H1072" s="13"/>
    </row>
    <row r="1073" spans="8:8" x14ac:dyDescent="0.25">
      <c r="H1073" s="13"/>
    </row>
    <row r="1074" spans="8:8" x14ac:dyDescent="0.25">
      <c r="H1074" s="13"/>
    </row>
    <row r="1075" spans="8:8" x14ac:dyDescent="0.25">
      <c r="H1075" s="13"/>
    </row>
    <row r="1076" spans="8:8" x14ac:dyDescent="0.25">
      <c r="H1076" s="13"/>
    </row>
    <row r="1077" spans="8:8" x14ac:dyDescent="0.25">
      <c r="H1077" s="13"/>
    </row>
    <row r="1078" spans="8:8" x14ac:dyDescent="0.25">
      <c r="H1078" s="13"/>
    </row>
    <row r="1079" spans="8:8" x14ac:dyDescent="0.25">
      <c r="H1079" s="13"/>
    </row>
    <row r="1080" spans="8:8" x14ac:dyDescent="0.25">
      <c r="H1080" s="13"/>
    </row>
    <row r="1081" spans="8:8" x14ac:dyDescent="0.25">
      <c r="H1081" s="13"/>
    </row>
    <row r="1082" spans="8:8" x14ac:dyDescent="0.25">
      <c r="H1082" s="13"/>
    </row>
    <row r="1083" spans="8:8" x14ac:dyDescent="0.25">
      <c r="H1083" s="13"/>
    </row>
    <row r="1084" spans="8:8" x14ac:dyDescent="0.25">
      <c r="H1084" s="13"/>
    </row>
    <row r="1085" spans="8:8" x14ac:dyDescent="0.25">
      <c r="H1085" s="13"/>
    </row>
    <row r="1086" spans="8:8" x14ac:dyDescent="0.25">
      <c r="H1086" s="13"/>
    </row>
    <row r="1087" spans="8:8" x14ac:dyDescent="0.25">
      <c r="H1087" s="13"/>
    </row>
    <row r="1088" spans="8:8" x14ac:dyDescent="0.25">
      <c r="H1088" s="13"/>
    </row>
    <row r="1089" spans="8:8" x14ac:dyDescent="0.25">
      <c r="H1089" s="13"/>
    </row>
    <row r="1090" spans="8:8" x14ac:dyDescent="0.25">
      <c r="H1090" s="13"/>
    </row>
    <row r="1091" spans="8:8" x14ac:dyDescent="0.25">
      <c r="H1091" s="13"/>
    </row>
    <row r="1092" spans="8:8" x14ac:dyDescent="0.25">
      <c r="H1092" s="13"/>
    </row>
    <row r="1093" spans="8:8" x14ac:dyDescent="0.25">
      <c r="H1093" s="13"/>
    </row>
    <row r="1094" spans="8:8" x14ac:dyDescent="0.25">
      <c r="H1094" s="13"/>
    </row>
    <row r="1095" spans="8:8" x14ac:dyDescent="0.25">
      <c r="H1095" s="13"/>
    </row>
    <row r="1096" spans="8:8" x14ac:dyDescent="0.25">
      <c r="H1096" s="13"/>
    </row>
    <row r="1097" spans="8:8" x14ac:dyDescent="0.25">
      <c r="H1097" s="13"/>
    </row>
    <row r="1098" spans="8:8" x14ac:dyDescent="0.25">
      <c r="H1098" s="13"/>
    </row>
    <row r="1099" spans="8:8" x14ac:dyDescent="0.25">
      <c r="H1099" s="13"/>
    </row>
    <row r="1100" spans="8:8" x14ac:dyDescent="0.25">
      <c r="H1100" s="13"/>
    </row>
    <row r="1101" spans="8:8" x14ac:dyDescent="0.25">
      <c r="H1101" s="13"/>
    </row>
    <row r="1102" spans="8:8" x14ac:dyDescent="0.25">
      <c r="H1102" s="13"/>
    </row>
    <row r="1103" spans="8:8" x14ac:dyDescent="0.25">
      <c r="H1103" s="13"/>
    </row>
    <row r="1104" spans="8:8" x14ac:dyDescent="0.25">
      <c r="H1104" s="13"/>
    </row>
    <row r="1105" spans="8:8" x14ac:dyDescent="0.25">
      <c r="H1105" s="13"/>
    </row>
    <row r="1106" spans="8:8" x14ac:dyDescent="0.25">
      <c r="H1106" s="13"/>
    </row>
    <row r="1107" spans="8:8" x14ac:dyDescent="0.25">
      <c r="H1107" s="13"/>
    </row>
    <row r="1108" spans="8:8" x14ac:dyDescent="0.25">
      <c r="H1108" s="13"/>
    </row>
    <row r="1109" spans="8:8" x14ac:dyDescent="0.25">
      <c r="H1109" s="13"/>
    </row>
    <row r="1110" spans="8:8" x14ac:dyDescent="0.25">
      <c r="H1110" s="13"/>
    </row>
    <row r="1111" spans="8:8" x14ac:dyDescent="0.25">
      <c r="H1111" s="13"/>
    </row>
    <row r="1112" spans="8:8" x14ac:dyDescent="0.25">
      <c r="H1112" s="13"/>
    </row>
    <row r="1113" spans="8:8" x14ac:dyDescent="0.25">
      <c r="H1113" s="13"/>
    </row>
    <row r="1114" spans="8:8" x14ac:dyDescent="0.25">
      <c r="H1114" s="13"/>
    </row>
    <row r="1115" spans="8:8" x14ac:dyDescent="0.25">
      <c r="H1115" s="13"/>
    </row>
    <row r="1116" spans="8:8" x14ac:dyDescent="0.25">
      <c r="H1116" s="13"/>
    </row>
    <row r="1117" spans="8:8" x14ac:dyDescent="0.25">
      <c r="H1117" s="13"/>
    </row>
    <row r="1118" spans="8:8" x14ac:dyDescent="0.25">
      <c r="H1118" s="13"/>
    </row>
    <row r="1119" spans="8:8" x14ac:dyDescent="0.25">
      <c r="H1119" s="13"/>
    </row>
    <row r="1120" spans="8:8" x14ac:dyDescent="0.25">
      <c r="H1120" s="13"/>
    </row>
    <row r="1121" spans="8:8" x14ac:dyDescent="0.25">
      <c r="H1121" s="13"/>
    </row>
    <row r="1122" spans="8:8" x14ac:dyDescent="0.25">
      <c r="H1122" s="13"/>
    </row>
    <row r="1123" spans="8:8" x14ac:dyDescent="0.25">
      <c r="H1123" s="13"/>
    </row>
    <row r="1124" spans="8:8" x14ac:dyDescent="0.25">
      <c r="H1124" s="13"/>
    </row>
    <row r="1125" spans="8:8" x14ac:dyDescent="0.25">
      <c r="H1125" s="13"/>
    </row>
    <row r="1126" spans="8:8" x14ac:dyDescent="0.25">
      <c r="H1126" s="13"/>
    </row>
    <row r="1127" spans="8:8" x14ac:dyDescent="0.25">
      <c r="H1127" s="13"/>
    </row>
    <row r="1128" spans="8:8" x14ac:dyDescent="0.25">
      <c r="H1128" s="13"/>
    </row>
    <row r="1129" spans="8:8" x14ac:dyDescent="0.25">
      <c r="H1129" s="13"/>
    </row>
    <row r="1130" spans="8:8" x14ac:dyDescent="0.25">
      <c r="H1130" s="13"/>
    </row>
    <row r="1131" spans="8:8" x14ac:dyDescent="0.25">
      <c r="H1131" s="13"/>
    </row>
    <row r="1132" spans="8:8" x14ac:dyDescent="0.25">
      <c r="H1132" s="13"/>
    </row>
    <row r="1133" spans="8:8" x14ac:dyDescent="0.25">
      <c r="H1133" s="13"/>
    </row>
    <row r="1134" spans="8:8" x14ac:dyDescent="0.25">
      <c r="H1134" s="13"/>
    </row>
    <row r="1135" spans="8:8" x14ac:dyDescent="0.25">
      <c r="H1135" s="13"/>
    </row>
    <row r="1136" spans="8:8" x14ac:dyDescent="0.25">
      <c r="H1136" s="13"/>
    </row>
    <row r="1137" spans="8:8" x14ac:dyDescent="0.25">
      <c r="H1137" s="13"/>
    </row>
    <row r="1138" spans="8:8" x14ac:dyDescent="0.25">
      <c r="H1138" s="13"/>
    </row>
    <row r="1139" spans="8:8" x14ac:dyDescent="0.25">
      <c r="H1139" s="13"/>
    </row>
    <row r="1140" spans="8:8" x14ac:dyDescent="0.25">
      <c r="H1140" s="13"/>
    </row>
    <row r="1141" spans="8:8" x14ac:dyDescent="0.25">
      <c r="H1141" s="13"/>
    </row>
    <row r="1142" spans="8:8" x14ac:dyDescent="0.25">
      <c r="H1142" s="13"/>
    </row>
    <row r="1143" spans="8:8" x14ac:dyDescent="0.25">
      <c r="H1143" s="13"/>
    </row>
    <row r="1144" spans="8:8" x14ac:dyDescent="0.25">
      <c r="H1144" s="13"/>
    </row>
    <row r="1145" spans="8:8" x14ac:dyDescent="0.25">
      <c r="H1145" s="13"/>
    </row>
    <row r="1146" spans="8:8" x14ac:dyDescent="0.25">
      <c r="H1146" s="13"/>
    </row>
    <row r="1147" spans="8:8" x14ac:dyDescent="0.25">
      <c r="H1147" s="13"/>
    </row>
    <row r="1148" spans="8:8" x14ac:dyDescent="0.25">
      <c r="H1148" s="13"/>
    </row>
    <row r="1149" spans="8:8" x14ac:dyDescent="0.25">
      <c r="H1149" s="13"/>
    </row>
    <row r="1150" spans="8:8" x14ac:dyDescent="0.25">
      <c r="H1150" s="13"/>
    </row>
    <row r="1151" spans="8:8" x14ac:dyDescent="0.25">
      <c r="H1151" s="13"/>
    </row>
    <row r="1152" spans="8:8" x14ac:dyDescent="0.25">
      <c r="H1152" s="13"/>
    </row>
    <row r="1153" spans="8:8" x14ac:dyDescent="0.25">
      <c r="H1153" s="13"/>
    </row>
    <row r="1154" spans="8:8" x14ac:dyDescent="0.25">
      <c r="H1154" s="13"/>
    </row>
    <row r="1155" spans="8:8" x14ac:dyDescent="0.25">
      <c r="H1155" s="13"/>
    </row>
    <row r="1156" spans="8:8" x14ac:dyDescent="0.25">
      <c r="H1156" s="13"/>
    </row>
    <row r="1157" spans="8:8" x14ac:dyDescent="0.25">
      <c r="H1157" s="13"/>
    </row>
    <row r="1158" spans="8:8" x14ac:dyDescent="0.25">
      <c r="H1158" s="13"/>
    </row>
    <row r="1159" spans="8:8" x14ac:dyDescent="0.25">
      <c r="H1159" s="13"/>
    </row>
    <row r="1160" spans="8:8" x14ac:dyDescent="0.25">
      <c r="H1160" s="13"/>
    </row>
    <row r="1161" spans="8:8" x14ac:dyDescent="0.25">
      <c r="H1161" s="13"/>
    </row>
    <row r="1162" spans="8:8" x14ac:dyDescent="0.25">
      <c r="H1162" s="13"/>
    </row>
    <row r="1163" spans="8:8" x14ac:dyDescent="0.25">
      <c r="H1163" s="13"/>
    </row>
    <row r="1164" spans="8:8" x14ac:dyDescent="0.25">
      <c r="H1164" s="13"/>
    </row>
    <row r="1165" spans="8:8" x14ac:dyDescent="0.25">
      <c r="H1165" s="13"/>
    </row>
    <row r="1166" spans="8:8" x14ac:dyDescent="0.25">
      <c r="H1166" s="13"/>
    </row>
    <row r="1167" spans="8:8" x14ac:dyDescent="0.25">
      <c r="H1167" s="13"/>
    </row>
    <row r="1168" spans="8:8" x14ac:dyDescent="0.25">
      <c r="H1168" s="13"/>
    </row>
    <row r="1169" spans="8:8" x14ac:dyDescent="0.25">
      <c r="H1169" s="13"/>
    </row>
    <row r="1170" spans="8:8" x14ac:dyDescent="0.25">
      <c r="H1170" s="13"/>
    </row>
    <row r="1171" spans="8:8" x14ac:dyDescent="0.25">
      <c r="H1171" s="13"/>
    </row>
    <row r="1172" spans="8:8" x14ac:dyDescent="0.25">
      <c r="H1172" s="13"/>
    </row>
    <row r="1173" spans="8:8" x14ac:dyDescent="0.25">
      <c r="H1173" s="13"/>
    </row>
    <row r="1174" spans="8:8" x14ac:dyDescent="0.25">
      <c r="H1174" s="13"/>
    </row>
    <row r="1175" spans="8:8" x14ac:dyDescent="0.25">
      <c r="H1175" s="13"/>
    </row>
    <row r="1176" spans="8:8" x14ac:dyDescent="0.25">
      <c r="H1176" s="13"/>
    </row>
    <row r="1177" spans="8:8" x14ac:dyDescent="0.25">
      <c r="H1177" s="13"/>
    </row>
    <row r="1178" spans="8:8" x14ac:dyDescent="0.25">
      <c r="H1178" s="13"/>
    </row>
    <row r="1179" spans="8:8" x14ac:dyDescent="0.25">
      <c r="H1179" s="13"/>
    </row>
    <row r="1180" spans="8:8" x14ac:dyDescent="0.25">
      <c r="H1180" s="13"/>
    </row>
    <row r="1181" spans="8:8" x14ac:dyDescent="0.25">
      <c r="H1181" s="13"/>
    </row>
    <row r="1182" spans="8:8" x14ac:dyDescent="0.25">
      <c r="H1182" s="13"/>
    </row>
    <row r="1183" spans="8:8" x14ac:dyDescent="0.25">
      <c r="H1183" s="13"/>
    </row>
    <row r="1184" spans="8:8" x14ac:dyDescent="0.25">
      <c r="H1184" s="13"/>
    </row>
    <row r="1185" spans="8:8" x14ac:dyDescent="0.25">
      <c r="H1185" s="13"/>
    </row>
    <row r="1186" spans="8:8" x14ac:dyDescent="0.25">
      <c r="H1186" s="13"/>
    </row>
    <row r="1187" spans="8:8" x14ac:dyDescent="0.25">
      <c r="H1187" s="13"/>
    </row>
    <row r="1188" spans="8:8" x14ac:dyDescent="0.25">
      <c r="H1188" s="13"/>
    </row>
    <row r="1189" spans="8:8" x14ac:dyDescent="0.25">
      <c r="H1189" s="13"/>
    </row>
    <row r="1190" spans="8:8" x14ac:dyDescent="0.25">
      <c r="H1190" s="13"/>
    </row>
    <row r="1191" spans="8:8" x14ac:dyDescent="0.25">
      <c r="H1191" s="13"/>
    </row>
    <row r="1192" spans="8:8" x14ac:dyDescent="0.25">
      <c r="H1192" s="13"/>
    </row>
    <row r="1193" spans="8:8" x14ac:dyDescent="0.25">
      <c r="H1193" s="13"/>
    </row>
    <row r="1194" spans="8:8" x14ac:dyDescent="0.25">
      <c r="H1194" s="13"/>
    </row>
    <row r="1195" spans="8:8" x14ac:dyDescent="0.25">
      <c r="H1195" s="13"/>
    </row>
    <row r="1196" spans="8:8" x14ac:dyDescent="0.25">
      <c r="H1196" s="13"/>
    </row>
    <row r="1197" spans="8:8" x14ac:dyDescent="0.25">
      <c r="H1197" s="13"/>
    </row>
    <row r="1198" spans="8:8" x14ac:dyDescent="0.25">
      <c r="H1198" s="13"/>
    </row>
    <row r="1199" spans="8:8" x14ac:dyDescent="0.25">
      <c r="H1199" s="13"/>
    </row>
    <row r="1200" spans="8:8" x14ac:dyDescent="0.25">
      <c r="H1200" s="13"/>
    </row>
    <row r="1201" spans="8:8" x14ac:dyDescent="0.25">
      <c r="H1201" s="13"/>
    </row>
    <row r="1202" spans="8:8" x14ac:dyDescent="0.25">
      <c r="H1202" s="13"/>
    </row>
    <row r="1203" spans="8:8" x14ac:dyDescent="0.25">
      <c r="H1203" s="13"/>
    </row>
    <row r="1204" spans="8:8" x14ac:dyDescent="0.25">
      <c r="H1204" s="13"/>
    </row>
    <row r="1205" spans="8:8" x14ac:dyDescent="0.25">
      <c r="H1205" s="13"/>
    </row>
    <row r="1206" spans="8:8" x14ac:dyDescent="0.25">
      <c r="H1206" s="13"/>
    </row>
    <row r="1207" spans="8:8" x14ac:dyDescent="0.25">
      <c r="H1207" s="13"/>
    </row>
    <row r="1208" spans="8:8" x14ac:dyDescent="0.25">
      <c r="H1208" s="13"/>
    </row>
    <row r="1209" spans="8:8" x14ac:dyDescent="0.25">
      <c r="H1209" s="13"/>
    </row>
    <row r="1210" spans="8:8" x14ac:dyDescent="0.25">
      <c r="H1210" s="13"/>
    </row>
    <row r="1211" spans="8:8" x14ac:dyDescent="0.25">
      <c r="H1211" s="13"/>
    </row>
    <row r="1212" spans="8:8" x14ac:dyDescent="0.25">
      <c r="H1212" s="13"/>
    </row>
    <row r="1213" spans="8:8" x14ac:dyDescent="0.25">
      <c r="H1213" s="13"/>
    </row>
    <row r="1214" spans="8:8" x14ac:dyDescent="0.25">
      <c r="H1214" s="13"/>
    </row>
    <row r="1215" spans="8:8" x14ac:dyDescent="0.25">
      <c r="H1215" s="13"/>
    </row>
    <row r="1216" spans="8:8" x14ac:dyDescent="0.25">
      <c r="H1216" s="13"/>
    </row>
    <row r="1217" spans="8:8" x14ac:dyDescent="0.25">
      <c r="H1217" s="13"/>
    </row>
    <row r="1218" spans="8:8" x14ac:dyDescent="0.25">
      <c r="H1218" s="13"/>
    </row>
    <row r="1219" spans="8:8" x14ac:dyDescent="0.25">
      <c r="H1219" s="13"/>
    </row>
    <row r="1220" spans="8:8" x14ac:dyDescent="0.25">
      <c r="H1220" s="13"/>
    </row>
    <row r="1221" spans="8:8" x14ac:dyDescent="0.25">
      <c r="H1221" s="13"/>
    </row>
    <row r="1222" spans="8:8" x14ac:dyDescent="0.25">
      <c r="H1222" s="13"/>
    </row>
    <row r="1223" spans="8:8" x14ac:dyDescent="0.25">
      <c r="H1223" s="13"/>
    </row>
    <row r="1224" spans="8:8" x14ac:dyDescent="0.25">
      <c r="H1224" s="13"/>
    </row>
    <row r="1225" spans="8:8" x14ac:dyDescent="0.25">
      <c r="H1225" s="13"/>
    </row>
    <row r="1226" spans="8:8" x14ac:dyDescent="0.25">
      <c r="H1226" s="13"/>
    </row>
    <row r="1227" spans="8:8" x14ac:dyDescent="0.25">
      <c r="H1227" s="13"/>
    </row>
    <row r="1228" spans="8:8" x14ac:dyDescent="0.25">
      <c r="H1228" s="13"/>
    </row>
    <row r="1229" spans="8:8" x14ac:dyDescent="0.25">
      <c r="H1229" s="13"/>
    </row>
    <row r="1230" spans="8:8" x14ac:dyDescent="0.25">
      <c r="H1230" s="13"/>
    </row>
    <row r="1231" spans="8:8" x14ac:dyDescent="0.25">
      <c r="H1231" s="13"/>
    </row>
    <row r="1232" spans="8:8" x14ac:dyDescent="0.25">
      <c r="H1232" s="13"/>
    </row>
    <row r="1233" spans="8:8" x14ac:dyDescent="0.25">
      <c r="H1233" s="13"/>
    </row>
    <row r="1234" spans="8:8" x14ac:dyDescent="0.25">
      <c r="H1234" s="13"/>
    </row>
    <row r="1235" spans="8:8" x14ac:dyDescent="0.25">
      <c r="H1235" s="13"/>
    </row>
    <row r="1236" spans="8:8" x14ac:dyDescent="0.25">
      <c r="H1236" s="13"/>
    </row>
    <row r="1237" spans="8:8" x14ac:dyDescent="0.25">
      <c r="H1237" s="13"/>
    </row>
    <row r="1238" spans="8:8" x14ac:dyDescent="0.25">
      <c r="H1238" s="13"/>
    </row>
    <row r="1239" spans="8:8" x14ac:dyDescent="0.25">
      <c r="H1239" s="13"/>
    </row>
    <row r="1240" spans="8:8" x14ac:dyDescent="0.25">
      <c r="H1240" s="13"/>
    </row>
    <row r="1241" spans="8:8" x14ac:dyDescent="0.25">
      <c r="H1241" s="13"/>
    </row>
    <row r="1242" spans="8:8" x14ac:dyDescent="0.25">
      <c r="H1242" s="13"/>
    </row>
    <row r="1243" spans="8:8" x14ac:dyDescent="0.25">
      <c r="H1243" s="13"/>
    </row>
    <row r="1244" spans="8:8" x14ac:dyDescent="0.25">
      <c r="H1244" s="13"/>
    </row>
    <row r="1245" spans="8:8" x14ac:dyDescent="0.25">
      <c r="H1245" s="13"/>
    </row>
    <row r="1246" spans="8:8" x14ac:dyDescent="0.25">
      <c r="H1246" s="13"/>
    </row>
    <row r="1247" spans="8:8" x14ac:dyDescent="0.25">
      <c r="H1247" s="13"/>
    </row>
    <row r="1248" spans="8:8" x14ac:dyDescent="0.25">
      <c r="H1248" s="13"/>
    </row>
    <row r="1249" spans="8:8" x14ac:dyDescent="0.25">
      <c r="H1249" s="13"/>
    </row>
    <row r="1250" spans="8:8" x14ac:dyDescent="0.25">
      <c r="H1250" s="13"/>
    </row>
    <row r="1251" spans="8:8" x14ac:dyDescent="0.25">
      <c r="H1251" s="13"/>
    </row>
    <row r="1252" spans="8:8" x14ac:dyDescent="0.25">
      <c r="H1252" s="13"/>
    </row>
    <row r="1253" spans="8:8" x14ac:dyDescent="0.25">
      <c r="H1253" s="13"/>
    </row>
    <row r="1254" spans="8:8" x14ac:dyDescent="0.25">
      <c r="H1254" s="13"/>
    </row>
    <row r="1255" spans="8:8" x14ac:dyDescent="0.25">
      <c r="H1255" s="13"/>
    </row>
    <row r="1256" spans="8:8" x14ac:dyDescent="0.25">
      <c r="H1256" s="13"/>
    </row>
    <row r="1257" spans="8:8" x14ac:dyDescent="0.25">
      <c r="H1257" s="13"/>
    </row>
    <row r="1258" spans="8:8" x14ac:dyDescent="0.25">
      <c r="H1258" s="13"/>
    </row>
    <row r="1259" spans="8:8" x14ac:dyDescent="0.25">
      <c r="H1259" s="13"/>
    </row>
    <row r="1260" spans="8:8" x14ac:dyDescent="0.25">
      <c r="H1260" s="13"/>
    </row>
    <row r="1261" spans="8:8" x14ac:dyDescent="0.25">
      <c r="H1261" s="13"/>
    </row>
    <row r="1262" spans="8:8" x14ac:dyDescent="0.25">
      <c r="H1262" s="13"/>
    </row>
    <row r="1263" spans="8:8" x14ac:dyDescent="0.25">
      <c r="H1263" s="13"/>
    </row>
    <row r="1264" spans="8:8" x14ac:dyDescent="0.25">
      <c r="H1264" s="13"/>
    </row>
    <row r="1265" spans="8:8" x14ac:dyDescent="0.25">
      <c r="H1265" s="13"/>
    </row>
    <row r="1266" spans="8:8" x14ac:dyDescent="0.25">
      <c r="H1266" s="13"/>
    </row>
    <row r="1267" spans="8:8" x14ac:dyDescent="0.25">
      <c r="H1267" s="13"/>
    </row>
    <row r="1268" spans="8:8" x14ac:dyDescent="0.25">
      <c r="H1268" s="13"/>
    </row>
    <row r="1269" spans="8:8" x14ac:dyDescent="0.25">
      <c r="H1269" s="13"/>
    </row>
    <row r="1270" spans="8:8" x14ac:dyDescent="0.25">
      <c r="H1270" s="13"/>
    </row>
    <row r="1271" spans="8:8" x14ac:dyDescent="0.25">
      <c r="H1271" s="13"/>
    </row>
    <row r="1272" spans="8:8" x14ac:dyDescent="0.25">
      <c r="H1272" s="13"/>
    </row>
    <row r="1273" spans="8:8" x14ac:dyDescent="0.25">
      <c r="H1273" s="13"/>
    </row>
    <row r="1274" spans="8:8" x14ac:dyDescent="0.25">
      <c r="H1274" s="13"/>
    </row>
    <row r="1275" spans="8:8" x14ac:dyDescent="0.25">
      <c r="H1275" s="13"/>
    </row>
    <row r="1276" spans="8:8" x14ac:dyDescent="0.25">
      <c r="H1276" s="13"/>
    </row>
    <row r="1277" spans="8:8" x14ac:dyDescent="0.25">
      <c r="H1277" s="13"/>
    </row>
    <row r="1278" spans="8:8" x14ac:dyDescent="0.25">
      <c r="H1278" s="13"/>
    </row>
    <row r="1279" spans="8:8" x14ac:dyDescent="0.25">
      <c r="H1279" s="13"/>
    </row>
    <row r="1280" spans="8:8" x14ac:dyDescent="0.25">
      <c r="H1280" s="13"/>
    </row>
    <row r="1281" spans="8:8" x14ac:dyDescent="0.25">
      <c r="H1281" s="13"/>
    </row>
    <row r="1282" spans="8:8" x14ac:dyDescent="0.25">
      <c r="H1282" s="13"/>
    </row>
    <row r="1283" spans="8:8" x14ac:dyDescent="0.25">
      <c r="H1283" s="13"/>
    </row>
    <row r="1284" spans="8:8" x14ac:dyDescent="0.25">
      <c r="H1284" s="13"/>
    </row>
    <row r="1285" spans="8:8" x14ac:dyDescent="0.25">
      <c r="H1285" s="13"/>
    </row>
    <row r="1286" spans="8:8" x14ac:dyDescent="0.25">
      <c r="H1286" s="13"/>
    </row>
    <row r="1287" spans="8:8" x14ac:dyDescent="0.25">
      <c r="H1287" s="13"/>
    </row>
    <row r="1288" spans="8:8" x14ac:dyDescent="0.25">
      <c r="H1288" s="13"/>
    </row>
    <row r="1289" spans="8:8" x14ac:dyDescent="0.25">
      <c r="H1289" s="13"/>
    </row>
    <row r="1290" spans="8:8" x14ac:dyDescent="0.25">
      <c r="H1290" s="13"/>
    </row>
    <row r="1291" spans="8:8" x14ac:dyDescent="0.25">
      <c r="H1291" s="13"/>
    </row>
    <row r="1292" spans="8:8" x14ac:dyDescent="0.25">
      <c r="H1292" s="13"/>
    </row>
    <row r="1293" spans="8:8" x14ac:dyDescent="0.25">
      <c r="H1293" s="13"/>
    </row>
    <row r="1294" spans="8:8" x14ac:dyDescent="0.25">
      <c r="H1294" s="13"/>
    </row>
    <row r="1295" spans="8:8" x14ac:dyDescent="0.25">
      <c r="H1295" s="13"/>
    </row>
    <row r="1296" spans="8:8" x14ac:dyDescent="0.25">
      <c r="H1296" s="13"/>
    </row>
    <row r="1297" spans="8:8" x14ac:dyDescent="0.25">
      <c r="H1297" s="13"/>
    </row>
    <row r="1298" spans="8:8" x14ac:dyDescent="0.25">
      <c r="H1298" s="13"/>
    </row>
    <row r="1299" spans="8:8" x14ac:dyDescent="0.25">
      <c r="H1299" s="13"/>
    </row>
    <row r="1300" spans="8:8" x14ac:dyDescent="0.25">
      <c r="H1300" s="13"/>
    </row>
    <row r="1301" spans="8:8" x14ac:dyDescent="0.25">
      <c r="H1301" s="13"/>
    </row>
    <row r="1302" spans="8:8" x14ac:dyDescent="0.25">
      <c r="H1302" s="13"/>
    </row>
    <row r="1303" spans="8:8" x14ac:dyDescent="0.25">
      <c r="H1303" s="13"/>
    </row>
    <row r="1304" spans="8:8" x14ac:dyDescent="0.25">
      <c r="H1304" s="13"/>
    </row>
    <row r="1305" spans="8:8" x14ac:dyDescent="0.25">
      <c r="H1305" s="13"/>
    </row>
    <row r="1306" spans="8:8" x14ac:dyDescent="0.25">
      <c r="H1306" s="13"/>
    </row>
    <row r="1307" spans="8:8" x14ac:dyDescent="0.25">
      <c r="H1307" s="13"/>
    </row>
    <row r="1308" spans="8:8" x14ac:dyDescent="0.25">
      <c r="H1308" s="13"/>
    </row>
    <row r="1309" spans="8:8" x14ac:dyDescent="0.25">
      <c r="H1309" s="13"/>
    </row>
    <row r="1310" spans="8:8" x14ac:dyDescent="0.25">
      <c r="H1310" s="13"/>
    </row>
    <row r="1311" spans="8:8" x14ac:dyDescent="0.25">
      <c r="H1311" s="13"/>
    </row>
    <row r="1312" spans="8:8" x14ac:dyDescent="0.25">
      <c r="H1312" s="13"/>
    </row>
    <row r="1313" spans="8:8" x14ac:dyDescent="0.25">
      <c r="H1313" s="13"/>
    </row>
    <row r="1314" spans="8:8" x14ac:dyDescent="0.25">
      <c r="H1314" s="13"/>
    </row>
    <row r="1315" spans="8:8" x14ac:dyDescent="0.25">
      <c r="H1315" s="13"/>
    </row>
    <row r="1316" spans="8:8" x14ac:dyDescent="0.25">
      <c r="H1316" s="13"/>
    </row>
    <row r="1317" spans="8:8" x14ac:dyDescent="0.25">
      <c r="H1317" s="13"/>
    </row>
    <row r="1318" spans="8:8" x14ac:dyDescent="0.25">
      <c r="H1318" s="13"/>
    </row>
    <row r="1319" spans="8:8" x14ac:dyDescent="0.25">
      <c r="H1319" s="13"/>
    </row>
    <row r="1320" spans="8:8" x14ac:dyDescent="0.25">
      <c r="H1320" s="13"/>
    </row>
  </sheetData>
  <mergeCells count="45">
    <mergeCell ref="A912:A925"/>
    <mergeCell ref="B912:B925"/>
    <mergeCell ref="C925:D925"/>
    <mergeCell ref="C448:D448"/>
    <mergeCell ref="C482:D482"/>
    <mergeCell ref="A615:A628"/>
    <mergeCell ref="B615:B628"/>
    <mergeCell ref="C628:D628"/>
    <mergeCell ref="A534:A614"/>
    <mergeCell ref="B534:B614"/>
    <mergeCell ref="C614:D614"/>
    <mergeCell ref="A449:A482"/>
    <mergeCell ref="B449:B482"/>
    <mergeCell ref="A483:A533"/>
    <mergeCell ref="B483:B533"/>
    <mergeCell ref="C533:D533"/>
    <mergeCell ref="C1:E1"/>
    <mergeCell ref="C2:E2"/>
    <mergeCell ref="C3:E3"/>
    <mergeCell ref="C54:D54"/>
    <mergeCell ref="A6:A54"/>
    <mergeCell ref="B6:B54"/>
    <mergeCell ref="C144:D144"/>
    <mergeCell ref="A55:A144"/>
    <mergeCell ref="B55:B144"/>
    <mergeCell ref="A332:A409"/>
    <mergeCell ref="B332:B409"/>
    <mergeCell ref="C409:D409"/>
    <mergeCell ref="C331:D331"/>
    <mergeCell ref="A145:A331"/>
    <mergeCell ref="B145:B331"/>
    <mergeCell ref="A410:A448"/>
    <mergeCell ref="B410:B448"/>
    <mergeCell ref="C691:D691"/>
    <mergeCell ref="A629:A691"/>
    <mergeCell ref="B629:B691"/>
    <mergeCell ref="A876:A911"/>
    <mergeCell ref="B876:B911"/>
    <mergeCell ref="C911:D911"/>
    <mergeCell ref="A692:A708"/>
    <mergeCell ref="B692:B708"/>
    <mergeCell ref="C708:D708"/>
    <mergeCell ref="C875:D875"/>
    <mergeCell ref="A709:A875"/>
    <mergeCell ref="B709:B875"/>
  </mergeCells>
  <pageMargins left="0.11811023622047245" right="0" top="0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2020-03-23T09:48:43Z</dcterms:modified>
</cp:coreProperties>
</file>