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225\share$\Econom_upravleniya\Otdel_Ekonomicheskogo_Razvitia\paraninamv\программы\2019 год\Отчеты\"/>
    </mc:Choice>
  </mc:AlternateContent>
  <bookViews>
    <workbookView xWindow="0" yWindow="0" windowWidth="2877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2" i="1" l="1"/>
  <c r="H812" i="1"/>
  <c r="F726" i="1"/>
  <c r="E730" i="1"/>
  <c r="E718" i="1"/>
  <c r="H604" i="1" l="1"/>
  <c r="F604" i="1"/>
  <c r="E604" i="1"/>
  <c r="H603" i="1"/>
  <c r="H602" i="1" s="1"/>
  <c r="F603" i="1"/>
  <c r="F602" i="1" s="1"/>
  <c r="E603" i="1"/>
  <c r="E602" i="1" s="1"/>
  <c r="E601" i="1"/>
  <c r="E600" i="1" s="1"/>
  <c r="H600" i="1"/>
  <c r="F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4" i="1"/>
  <c r="F594" i="1"/>
  <c r="E594" i="1"/>
  <c r="H593" i="1"/>
  <c r="F593" i="1"/>
  <c r="E593" i="1"/>
  <c r="H592" i="1"/>
  <c r="F592" i="1"/>
  <c r="E592" i="1"/>
  <c r="H591" i="1"/>
  <c r="F591" i="1"/>
  <c r="E591" i="1"/>
  <c r="H588" i="1"/>
  <c r="F588" i="1"/>
  <c r="E588" i="1"/>
  <c r="H587" i="1"/>
  <c r="F587" i="1"/>
  <c r="E587" i="1"/>
  <c r="H586" i="1"/>
  <c r="F586" i="1"/>
  <c r="E586" i="1"/>
  <c r="H584" i="1"/>
  <c r="F584" i="1"/>
  <c r="E584" i="1"/>
  <c r="H583" i="1"/>
  <c r="F583" i="1"/>
  <c r="E583" i="1"/>
  <c r="H582" i="1"/>
  <c r="F582" i="1"/>
  <c r="E582" i="1"/>
  <c r="H580" i="1"/>
  <c r="F580" i="1"/>
  <c r="E580" i="1"/>
  <c r="H579" i="1"/>
  <c r="F579" i="1"/>
  <c r="E579" i="1"/>
  <c r="H578" i="1"/>
  <c r="F578" i="1"/>
  <c r="E578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69" i="1"/>
  <c r="F569" i="1"/>
  <c r="E569" i="1"/>
  <c r="H568" i="1"/>
  <c r="F568" i="1"/>
  <c r="E568" i="1"/>
  <c r="H567" i="1"/>
  <c r="F567" i="1"/>
  <c r="E567" i="1"/>
  <c r="H565" i="1"/>
  <c r="F565" i="1"/>
  <c r="E565" i="1"/>
  <c r="H564" i="1"/>
  <c r="F564" i="1"/>
  <c r="E564" i="1"/>
  <c r="H563" i="1"/>
  <c r="F563" i="1"/>
  <c r="F561" i="1" s="1"/>
  <c r="E563" i="1"/>
  <c r="H562" i="1"/>
  <c r="F562" i="1"/>
  <c r="E562" i="1"/>
  <c r="H560" i="1"/>
  <c r="F560" i="1"/>
  <c r="E560" i="1"/>
  <c r="H559" i="1"/>
  <c r="F559" i="1"/>
  <c r="E559" i="1"/>
  <c r="H557" i="1"/>
  <c r="F557" i="1"/>
  <c r="E557" i="1"/>
  <c r="H556" i="1"/>
  <c r="F556" i="1"/>
  <c r="E556" i="1"/>
  <c r="E552" i="1" s="1"/>
  <c r="H555" i="1"/>
  <c r="F555" i="1"/>
  <c r="E555" i="1"/>
  <c r="H554" i="1"/>
  <c r="F554" i="1"/>
  <c r="E554" i="1"/>
  <c r="H553" i="1"/>
  <c r="F553" i="1"/>
  <c r="E553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6" i="1"/>
  <c r="F536" i="1"/>
  <c r="E536" i="1"/>
  <c r="H534" i="1"/>
  <c r="F534" i="1"/>
  <c r="E534" i="1"/>
  <c r="H533" i="1"/>
  <c r="F533" i="1"/>
  <c r="E533" i="1"/>
  <c r="H532" i="1"/>
  <c r="F532" i="1"/>
  <c r="E532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3" i="1"/>
  <c r="E634" i="1"/>
  <c r="F634" i="1"/>
  <c r="F632" i="1" s="1"/>
  <c r="H634" i="1"/>
  <c r="H632" i="1" s="1"/>
  <c r="E635" i="1"/>
  <c r="F635" i="1"/>
  <c r="H635" i="1"/>
  <c r="E636" i="1"/>
  <c r="F636" i="1"/>
  <c r="H636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4" i="1"/>
  <c r="F644" i="1"/>
  <c r="H644" i="1"/>
  <c r="E645" i="1"/>
  <c r="F645" i="1"/>
  <c r="H645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F552" i="1" l="1"/>
  <c r="H643" i="1"/>
  <c r="E653" i="1"/>
  <c r="H561" i="1"/>
  <c r="H526" i="1"/>
  <c r="H558" i="1"/>
  <c r="H581" i="1"/>
  <c r="F585" i="1"/>
  <c r="E526" i="1"/>
  <c r="F526" i="1"/>
  <c r="E531" i="1"/>
  <c r="H566" i="1"/>
  <c r="F577" i="1"/>
  <c r="F581" i="1"/>
  <c r="H590" i="1"/>
  <c r="E637" i="1"/>
  <c r="F531" i="1"/>
  <c r="H531" i="1"/>
  <c r="E535" i="1"/>
  <c r="H552" i="1"/>
  <c r="E561" i="1"/>
  <c r="E581" i="1"/>
  <c r="F622" i="1"/>
  <c r="F621" i="1" s="1"/>
  <c r="F606" i="1"/>
  <c r="F619" i="1" s="1"/>
  <c r="F535" i="1"/>
  <c r="H535" i="1"/>
  <c r="H577" i="1"/>
  <c r="H585" i="1"/>
  <c r="E590" i="1"/>
  <c r="F590" i="1"/>
  <c r="E595" i="1"/>
  <c r="E667" i="1"/>
  <c r="E558" i="1"/>
  <c r="F558" i="1"/>
  <c r="F551" i="1" s="1"/>
  <c r="E566" i="1"/>
  <c r="F566" i="1"/>
  <c r="E577" i="1"/>
  <c r="E585" i="1"/>
  <c r="F595" i="1"/>
  <c r="H595" i="1"/>
  <c r="E622" i="1"/>
  <c r="E606" i="1"/>
  <c r="E619" i="1" s="1"/>
  <c r="H667" i="1"/>
  <c r="F667" i="1"/>
  <c r="H662" i="1"/>
  <c r="F643" i="1"/>
  <c r="H637" i="1"/>
  <c r="F637" i="1"/>
  <c r="E632" i="1"/>
  <c r="H653" i="1"/>
  <c r="H647" i="1" s="1"/>
  <c r="H622" i="1"/>
  <c r="H621" i="1" s="1"/>
  <c r="H620" i="1" s="1"/>
  <c r="H606" i="1"/>
  <c r="H619" i="1" s="1"/>
  <c r="E675" i="1"/>
  <c r="E674" i="1" s="1"/>
  <c r="H675" i="1"/>
  <c r="H674" i="1" s="1"/>
  <c r="F675" i="1"/>
  <c r="F674" i="1" s="1"/>
  <c r="F662" i="1"/>
  <c r="E662" i="1"/>
  <c r="F653" i="1"/>
  <c r="F647" i="1" s="1"/>
  <c r="E643" i="1"/>
  <c r="E647" i="1"/>
  <c r="H83" i="1"/>
  <c r="F83" i="1"/>
  <c r="H80" i="1"/>
  <c r="F80" i="1"/>
  <c r="H85" i="1"/>
  <c r="F85" i="1"/>
  <c r="H113" i="1"/>
  <c r="F113" i="1"/>
  <c r="H107" i="1"/>
  <c r="F107" i="1"/>
  <c r="H589" i="1" l="1"/>
  <c r="F589" i="1"/>
  <c r="E576" i="1"/>
  <c r="E570" i="1" s="1"/>
  <c r="E605" i="1" s="1"/>
  <c r="E589" i="1"/>
  <c r="E646" i="1"/>
  <c r="H551" i="1"/>
  <c r="E621" i="1"/>
  <c r="E620" i="1" s="1"/>
  <c r="E551" i="1"/>
  <c r="F576" i="1"/>
  <c r="H570" i="1"/>
  <c r="H605" i="1" s="1"/>
  <c r="F646" i="1"/>
  <c r="H576" i="1"/>
  <c r="H646" i="1"/>
  <c r="F620" i="1"/>
  <c r="E444" i="1"/>
  <c r="F570" i="1" l="1"/>
  <c r="F605" i="1" s="1"/>
  <c r="H697" i="1"/>
  <c r="H696" i="1" s="1"/>
  <c r="H695" i="1" s="1"/>
  <c r="H694" i="1"/>
  <c r="H693" i="1"/>
  <c r="H692" i="1"/>
  <c r="H689" i="1"/>
  <c r="H688" i="1"/>
  <c r="H687" i="1"/>
  <c r="H686" i="1"/>
  <c r="H685" i="1"/>
  <c r="H684" i="1"/>
  <c r="F697" i="1"/>
  <c r="E697" i="1"/>
  <c r="H892" i="1"/>
  <c r="H891" i="1" s="1"/>
  <c r="H890" i="1"/>
  <c r="H889" i="1"/>
  <c r="H888" i="1" s="1"/>
  <c r="H887" i="1"/>
  <c r="H886" i="1"/>
  <c r="H884" i="1"/>
  <c r="H883" i="1"/>
  <c r="H880" i="1"/>
  <c r="H879" i="1" s="1"/>
  <c r="H878" i="1"/>
  <c r="H877" i="1"/>
  <c r="H876" i="1"/>
  <c r="H875" i="1"/>
  <c r="H873" i="1"/>
  <c r="H872" i="1"/>
  <c r="H871" i="1"/>
  <c r="H870" i="1"/>
  <c r="H868" i="1"/>
  <c r="H867" i="1" s="1"/>
  <c r="H866" i="1"/>
  <c r="H865" i="1"/>
  <c r="H864" i="1"/>
  <c r="H863" i="1"/>
  <c r="H862" i="1"/>
  <c r="H861" i="1"/>
  <c r="F886" i="1"/>
  <c r="E886" i="1"/>
  <c r="H473" i="1"/>
  <c r="H472" i="1"/>
  <c r="H471" i="1" s="1"/>
  <c r="H470" i="1"/>
  <c r="H469" i="1"/>
  <c r="H467" i="1"/>
  <c r="H466" i="1" s="1"/>
  <c r="H465" i="1"/>
  <c r="H464" i="1"/>
  <c r="H463" i="1"/>
  <c r="H461" i="1"/>
  <c r="H460" i="1"/>
  <c r="H458" i="1"/>
  <c r="H457" i="1"/>
  <c r="H455" i="1"/>
  <c r="H454" i="1" s="1"/>
  <c r="F473" i="1"/>
  <c r="E473" i="1"/>
  <c r="H882" i="1" l="1"/>
  <c r="H468" i="1"/>
  <c r="H874" i="1"/>
  <c r="H691" i="1"/>
  <c r="H690" i="1" s="1"/>
  <c r="H462" i="1"/>
  <c r="H459" i="1"/>
  <c r="H869" i="1"/>
  <c r="H683" i="1"/>
  <c r="H682" i="1" s="1"/>
  <c r="H698" i="1"/>
  <c r="H456" i="1"/>
  <c r="H860" i="1"/>
  <c r="H859" i="1" s="1"/>
  <c r="H885" i="1"/>
  <c r="H881" i="1" s="1"/>
  <c r="H56" i="1"/>
  <c r="F56" i="1"/>
  <c r="E56" i="1"/>
  <c r="H55" i="1"/>
  <c r="F55" i="1"/>
  <c r="E55" i="1"/>
  <c r="H54" i="1"/>
  <c r="F54" i="1"/>
  <c r="E54" i="1"/>
  <c r="H53" i="1"/>
  <c r="F53" i="1"/>
  <c r="E53" i="1"/>
  <c r="H52" i="1"/>
  <c r="F52" i="1"/>
  <c r="E52" i="1"/>
  <c r="H49" i="1"/>
  <c r="F49" i="1"/>
  <c r="E49" i="1"/>
  <c r="H48" i="1"/>
  <c r="F48" i="1"/>
  <c r="E48" i="1"/>
  <c r="H47" i="1"/>
  <c r="F47" i="1"/>
  <c r="E47" i="1"/>
  <c r="H46" i="1"/>
  <c r="F46" i="1"/>
  <c r="E46" i="1"/>
  <c r="H45" i="1"/>
  <c r="F45" i="1"/>
  <c r="E45" i="1"/>
  <c r="H44" i="1"/>
  <c r="F44" i="1"/>
  <c r="E44" i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8" i="1"/>
  <c r="F38" i="1"/>
  <c r="E38" i="1"/>
  <c r="H36" i="1"/>
  <c r="F36" i="1"/>
  <c r="E36" i="1"/>
  <c r="H35" i="1"/>
  <c r="F35" i="1"/>
  <c r="E35" i="1"/>
  <c r="H34" i="1"/>
  <c r="F34" i="1"/>
  <c r="E34" i="1"/>
  <c r="H33" i="1"/>
  <c r="F33" i="1"/>
  <c r="E33" i="1"/>
  <c r="H32" i="1"/>
  <c r="F32" i="1"/>
  <c r="E32" i="1"/>
  <c r="H31" i="1"/>
  <c r="F31" i="1"/>
  <c r="E31" i="1"/>
  <c r="H30" i="1"/>
  <c r="F30" i="1"/>
  <c r="E30" i="1"/>
  <c r="H29" i="1"/>
  <c r="F29" i="1"/>
  <c r="E29" i="1"/>
  <c r="H28" i="1"/>
  <c r="F28" i="1"/>
  <c r="E28" i="1"/>
  <c r="H27" i="1"/>
  <c r="F27" i="1"/>
  <c r="E27" i="1"/>
  <c r="H26" i="1"/>
  <c r="F26" i="1"/>
  <c r="E26" i="1"/>
  <c r="H24" i="1"/>
  <c r="F24" i="1"/>
  <c r="E24" i="1"/>
  <c r="H23" i="1"/>
  <c r="F23" i="1"/>
  <c r="E23" i="1"/>
  <c r="H21" i="1"/>
  <c r="F21" i="1"/>
  <c r="E21" i="1"/>
  <c r="H20" i="1"/>
  <c r="F20" i="1"/>
  <c r="E20" i="1"/>
  <c r="H18" i="1"/>
  <c r="F18" i="1"/>
  <c r="F15" i="1" s="1"/>
  <c r="E18" i="1"/>
  <c r="H17" i="1"/>
  <c r="F17" i="1"/>
  <c r="E17" i="1"/>
  <c r="H16" i="1"/>
  <c r="H15" i="1" s="1"/>
  <c r="F16" i="1"/>
  <c r="E16" i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E15" i="1" l="1"/>
  <c r="H51" i="1"/>
  <c r="H50" i="1" s="1"/>
  <c r="H893" i="1"/>
  <c r="H19" i="1"/>
  <c r="E37" i="1"/>
  <c r="E51" i="1"/>
  <c r="E50" i="1" s="1"/>
  <c r="F51" i="1"/>
  <c r="F50" i="1" s="1"/>
  <c r="H453" i="1"/>
  <c r="E19" i="1"/>
  <c r="E25" i="1"/>
  <c r="E22" i="1" s="1"/>
  <c r="F19" i="1"/>
  <c r="H681" i="1"/>
  <c r="F37" i="1"/>
  <c r="H37" i="1"/>
  <c r="E8" i="1"/>
  <c r="F8" i="1"/>
  <c r="H8" i="1"/>
  <c r="F25" i="1"/>
  <c r="F22" i="1" s="1"/>
  <c r="H25" i="1"/>
  <c r="H22" i="1" s="1"/>
  <c r="H440" i="1"/>
  <c r="H439" i="1" s="1"/>
  <c r="H438" i="1" s="1"/>
  <c r="F440" i="1"/>
  <c r="F439" i="1" s="1"/>
  <c r="F438" i="1" s="1"/>
  <c r="E440" i="1"/>
  <c r="E439" i="1" s="1"/>
  <c r="E438" i="1" s="1"/>
  <c r="H436" i="1"/>
  <c r="F436" i="1"/>
  <c r="E436" i="1"/>
  <c r="H435" i="1"/>
  <c r="F435" i="1"/>
  <c r="E435" i="1"/>
  <c r="H434" i="1"/>
  <c r="F434" i="1"/>
  <c r="E434" i="1"/>
  <c r="H433" i="1"/>
  <c r="F433" i="1"/>
  <c r="E433" i="1"/>
  <c r="H432" i="1"/>
  <c r="F432" i="1"/>
  <c r="E432" i="1"/>
  <c r="H430" i="1"/>
  <c r="F430" i="1"/>
  <c r="E430" i="1"/>
  <c r="H429" i="1"/>
  <c r="F429" i="1"/>
  <c r="E429" i="1"/>
  <c r="H428" i="1"/>
  <c r="F428" i="1"/>
  <c r="E428" i="1"/>
  <c r="H426" i="1"/>
  <c r="F426" i="1"/>
  <c r="E426" i="1"/>
  <c r="H425" i="1"/>
  <c r="F425" i="1"/>
  <c r="E425" i="1"/>
  <c r="H424" i="1"/>
  <c r="F424" i="1"/>
  <c r="E424" i="1"/>
  <c r="H423" i="1"/>
  <c r="F423" i="1"/>
  <c r="E423" i="1"/>
  <c r="H422" i="1"/>
  <c r="F422" i="1"/>
  <c r="E422" i="1"/>
  <c r="H419" i="1"/>
  <c r="F419" i="1"/>
  <c r="E419" i="1"/>
  <c r="H418" i="1"/>
  <c r="F418" i="1"/>
  <c r="E418" i="1"/>
  <c r="H417" i="1"/>
  <c r="F417" i="1"/>
  <c r="E417" i="1"/>
  <c r="H416" i="1"/>
  <c r="F416" i="1"/>
  <c r="E416" i="1"/>
  <c r="H414" i="1"/>
  <c r="F414" i="1"/>
  <c r="E414" i="1"/>
  <c r="H413" i="1"/>
  <c r="F413" i="1"/>
  <c r="E413" i="1"/>
  <c r="H410" i="1"/>
  <c r="F410" i="1"/>
  <c r="E410" i="1"/>
  <c r="H409" i="1"/>
  <c r="F409" i="1"/>
  <c r="E409" i="1"/>
  <c r="H408" i="1"/>
  <c r="F408" i="1"/>
  <c r="E408" i="1"/>
  <c r="H407" i="1"/>
  <c r="F407" i="1"/>
  <c r="E407" i="1"/>
  <c r="H406" i="1"/>
  <c r="F406" i="1"/>
  <c r="E406" i="1"/>
  <c r="H405" i="1"/>
  <c r="F405" i="1"/>
  <c r="E405" i="1"/>
  <c r="H280" i="1"/>
  <c r="F280" i="1"/>
  <c r="H452" i="1"/>
  <c r="H451" i="1" s="1"/>
  <c r="H450" i="1" s="1"/>
  <c r="F452" i="1"/>
  <c r="F451" i="1" s="1"/>
  <c r="F450" i="1" s="1"/>
  <c r="E452" i="1"/>
  <c r="E451" i="1" s="1"/>
  <c r="E450" i="1" s="1"/>
  <c r="H401" i="1"/>
  <c r="H400" i="1"/>
  <c r="H398" i="1"/>
  <c r="H397" i="1"/>
  <c r="H396" i="1"/>
  <c r="H395" i="1"/>
  <c r="H394" i="1"/>
  <c r="H393" i="1"/>
  <c r="H392" i="1"/>
  <c r="F401" i="1"/>
  <c r="F400" i="1"/>
  <c r="F398" i="1"/>
  <c r="F397" i="1"/>
  <c r="F396" i="1"/>
  <c r="F395" i="1"/>
  <c r="F394" i="1"/>
  <c r="F393" i="1"/>
  <c r="F392" i="1"/>
  <c r="E401" i="1"/>
  <c r="E400" i="1"/>
  <c r="E398" i="1"/>
  <c r="E397" i="1"/>
  <c r="E396" i="1"/>
  <c r="E395" i="1"/>
  <c r="E394" i="1"/>
  <c r="E393" i="1"/>
  <c r="E392" i="1"/>
  <c r="H389" i="1"/>
  <c r="H388" i="1"/>
  <c r="H387" i="1"/>
  <c r="H386" i="1"/>
  <c r="H385" i="1"/>
  <c r="H384" i="1"/>
  <c r="H383" i="1"/>
  <c r="H382" i="1"/>
  <c r="H381" i="1"/>
  <c r="H380" i="1"/>
  <c r="H379" i="1"/>
  <c r="F389" i="1"/>
  <c r="F388" i="1"/>
  <c r="F387" i="1"/>
  <c r="F386" i="1"/>
  <c r="F385" i="1"/>
  <c r="F384" i="1"/>
  <c r="F383" i="1"/>
  <c r="F382" i="1"/>
  <c r="F381" i="1"/>
  <c r="F380" i="1"/>
  <c r="F379" i="1"/>
  <c r="E389" i="1"/>
  <c r="E388" i="1"/>
  <c r="E387" i="1"/>
  <c r="E386" i="1"/>
  <c r="E385" i="1"/>
  <c r="E384" i="1"/>
  <c r="E383" i="1"/>
  <c r="E382" i="1"/>
  <c r="E381" i="1"/>
  <c r="E380" i="1"/>
  <c r="E379" i="1"/>
  <c r="H376" i="1"/>
  <c r="H375" i="1"/>
  <c r="H373" i="1"/>
  <c r="H372" i="1" s="1"/>
  <c r="H371" i="1"/>
  <c r="H370" i="1"/>
  <c r="H369" i="1"/>
  <c r="H368" i="1"/>
  <c r="H366" i="1"/>
  <c r="H365" i="1" s="1"/>
  <c r="F376" i="1"/>
  <c r="F375" i="1"/>
  <c r="E376" i="1"/>
  <c r="E375" i="1"/>
  <c r="F371" i="1"/>
  <c r="F370" i="1"/>
  <c r="F369" i="1"/>
  <c r="F368" i="1"/>
  <c r="E371" i="1"/>
  <c r="E370" i="1"/>
  <c r="E369" i="1"/>
  <c r="E368" i="1"/>
  <c r="F366" i="1"/>
  <c r="F365" i="1" s="1"/>
  <c r="E366" i="1"/>
  <c r="E365" i="1" s="1"/>
  <c r="H357" i="1"/>
  <c r="H356" i="1"/>
  <c r="H355" i="1"/>
  <c r="H354" i="1"/>
  <c r="H353" i="1"/>
  <c r="H352" i="1"/>
  <c r="H351" i="1"/>
  <c r="H350" i="1"/>
  <c r="F357" i="1"/>
  <c r="F356" i="1"/>
  <c r="F355" i="1"/>
  <c r="F354" i="1"/>
  <c r="F353" i="1"/>
  <c r="F352" i="1"/>
  <c r="F351" i="1"/>
  <c r="F350" i="1"/>
  <c r="E357" i="1"/>
  <c r="E356" i="1"/>
  <c r="E355" i="1"/>
  <c r="E354" i="1"/>
  <c r="E353" i="1"/>
  <c r="E352" i="1"/>
  <c r="E351" i="1"/>
  <c r="E350" i="1"/>
  <c r="H347" i="1"/>
  <c r="H346" i="1" s="1"/>
  <c r="H345" i="1"/>
  <c r="H344" i="1"/>
  <c r="H343" i="1"/>
  <c r="H342" i="1"/>
  <c r="H341" i="1"/>
  <c r="H340" i="1"/>
  <c r="H339" i="1"/>
  <c r="H338" i="1"/>
  <c r="H337" i="1"/>
  <c r="F347" i="1"/>
  <c r="F346" i="1" s="1"/>
  <c r="F345" i="1"/>
  <c r="F344" i="1"/>
  <c r="F343" i="1"/>
  <c r="F342" i="1"/>
  <c r="F341" i="1"/>
  <c r="F340" i="1"/>
  <c r="F339" i="1"/>
  <c r="F338" i="1"/>
  <c r="E343" i="1"/>
  <c r="E342" i="1"/>
  <c r="E340" i="1"/>
  <c r="E339" i="1"/>
  <c r="E338" i="1"/>
  <c r="E337" i="1"/>
  <c r="F314" i="1"/>
  <c r="F313" i="1" s="1"/>
  <c r="H333" i="1"/>
  <c r="H332" i="1"/>
  <c r="H331" i="1"/>
  <c r="H330" i="1"/>
  <c r="H329" i="1"/>
  <c r="H328" i="1"/>
  <c r="H327" i="1"/>
  <c r="F331" i="1"/>
  <c r="F330" i="1"/>
  <c r="F329" i="1"/>
  <c r="F328" i="1"/>
  <c r="F327" i="1"/>
  <c r="F333" i="1"/>
  <c r="F332" i="1"/>
  <c r="E333" i="1"/>
  <c r="E332" i="1"/>
  <c r="E331" i="1"/>
  <c r="E330" i="1"/>
  <c r="E329" i="1"/>
  <c r="E328" i="1"/>
  <c r="E327" i="1"/>
  <c r="H323" i="1"/>
  <c r="H322" i="1" s="1"/>
  <c r="H321" i="1"/>
  <c r="H320" i="1"/>
  <c r="H319" i="1"/>
  <c r="H318" i="1"/>
  <c r="H316" i="1"/>
  <c r="H315" i="1" s="1"/>
  <c r="H314" i="1"/>
  <c r="H313" i="1" s="1"/>
  <c r="F323" i="1"/>
  <c r="F322" i="1" s="1"/>
  <c r="E323" i="1"/>
  <c r="E322" i="1" s="1"/>
  <c r="F321" i="1"/>
  <c r="F320" i="1"/>
  <c r="F319" i="1"/>
  <c r="F318" i="1"/>
  <c r="E321" i="1"/>
  <c r="E320" i="1"/>
  <c r="E319" i="1"/>
  <c r="E318" i="1"/>
  <c r="F316" i="1"/>
  <c r="F315" i="1" s="1"/>
  <c r="E316" i="1"/>
  <c r="E315" i="1" s="1"/>
  <c r="E314" i="1"/>
  <c r="E313" i="1" s="1"/>
  <c r="H311" i="1"/>
  <c r="H310" i="1"/>
  <c r="H309" i="1"/>
  <c r="H307" i="1"/>
  <c r="H306" i="1"/>
  <c r="H305" i="1"/>
  <c r="H304" i="1"/>
  <c r="H303" i="1"/>
  <c r="H302" i="1"/>
  <c r="H301" i="1"/>
  <c r="H300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F311" i="1"/>
  <c r="F310" i="1"/>
  <c r="F309" i="1"/>
  <c r="E311" i="1"/>
  <c r="E310" i="1"/>
  <c r="E309" i="1"/>
  <c r="F307" i="1"/>
  <c r="F306" i="1"/>
  <c r="F305" i="1"/>
  <c r="F304" i="1"/>
  <c r="F303" i="1"/>
  <c r="F302" i="1"/>
  <c r="F301" i="1"/>
  <c r="F300" i="1"/>
  <c r="E307" i="1"/>
  <c r="E306" i="1"/>
  <c r="E305" i="1"/>
  <c r="E304" i="1"/>
  <c r="E303" i="1"/>
  <c r="E302" i="1"/>
  <c r="E301" i="1"/>
  <c r="E300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6" i="1"/>
  <c r="F245" i="1"/>
  <c r="F243" i="1"/>
  <c r="F238" i="1"/>
  <c r="F239" i="1"/>
  <c r="F240" i="1"/>
  <c r="F241" i="1"/>
  <c r="F242" i="1"/>
  <c r="F244" i="1"/>
  <c r="F247" i="1"/>
  <c r="F255" i="1"/>
  <c r="F266" i="1"/>
  <c r="F267" i="1"/>
  <c r="F268" i="1"/>
  <c r="F269" i="1"/>
  <c r="F270" i="1"/>
  <c r="F271" i="1"/>
  <c r="F272" i="1"/>
  <c r="F278" i="1"/>
  <c r="F277" i="1"/>
  <c r="F276" i="1"/>
  <c r="F275" i="1"/>
  <c r="F274" i="1"/>
  <c r="F273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H221" i="1"/>
  <c r="H220" i="1"/>
  <c r="H218" i="1"/>
  <c r="H217" i="1"/>
  <c r="H216" i="1"/>
  <c r="H214" i="1"/>
  <c r="H213" i="1"/>
  <c r="F221" i="1"/>
  <c r="F220" i="1"/>
  <c r="E221" i="1"/>
  <c r="E220" i="1"/>
  <c r="F218" i="1"/>
  <c r="F217" i="1"/>
  <c r="F216" i="1"/>
  <c r="E218" i="1"/>
  <c r="E217" i="1"/>
  <c r="E216" i="1"/>
  <c r="F214" i="1"/>
  <c r="F213" i="1"/>
  <c r="E214" i="1"/>
  <c r="E213" i="1"/>
  <c r="F210" i="1"/>
  <c r="H210" i="1"/>
  <c r="H209" i="1"/>
  <c r="H208" i="1"/>
  <c r="H207" i="1"/>
  <c r="H206" i="1"/>
  <c r="H205" i="1"/>
  <c r="H203" i="1"/>
  <c r="H202" i="1"/>
  <c r="H201" i="1"/>
  <c r="H200" i="1"/>
  <c r="H198" i="1"/>
  <c r="H197" i="1"/>
  <c r="H196" i="1"/>
  <c r="H195" i="1"/>
  <c r="H193" i="1"/>
  <c r="H192" i="1"/>
  <c r="H191" i="1"/>
  <c r="H190" i="1"/>
  <c r="H188" i="1"/>
  <c r="H187" i="1"/>
  <c r="H186" i="1"/>
  <c r="H185" i="1"/>
  <c r="H183" i="1"/>
  <c r="H182" i="1"/>
  <c r="H181" i="1"/>
  <c r="H180" i="1"/>
  <c r="F209" i="1"/>
  <c r="F208" i="1"/>
  <c r="F207" i="1"/>
  <c r="F206" i="1"/>
  <c r="F205" i="1"/>
  <c r="E210" i="1"/>
  <c r="E209" i="1"/>
  <c r="E208" i="1"/>
  <c r="E207" i="1"/>
  <c r="E206" i="1"/>
  <c r="E205" i="1"/>
  <c r="F203" i="1"/>
  <c r="F202" i="1"/>
  <c r="F201" i="1"/>
  <c r="F200" i="1"/>
  <c r="E203" i="1"/>
  <c r="E202" i="1"/>
  <c r="E201" i="1"/>
  <c r="E200" i="1"/>
  <c r="F198" i="1"/>
  <c r="F197" i="1"/>
  <c r="F196" i="1"/>
  <c r="F195" i="1"/>
  <c r="E198" i="1"/>
  <c r="E197" i="1"/>
  <c r="E196" i="1"/>
  <c r="E195" i="1"/>
  <c r="F193" i="1"/>
  <c r="F192" i="1"/>
  <c r="F191" i="1"/>
  <c r="F190" i="1"/>
  <c r="E193" i="1"/>
  <c r="E192" i="1"/>
  <c r="E191" i="1"/>
  <c r="E190" i="1"/>
  <c r="F188" i="1"/>
  <c r="F187" i="1"/>
  <c r="F186" i="1"/>
  <c r="F185" i="1"/>
  <c r="E188" i="1"/>
  <c r="E187" i="1"/>
  <c r="E186" i="1"/>
  <c r="E185" i="1"/>
  <c r="F183" i="1"/>
  <c r="F182" i="1"/>
  <c r="F181" i="1"/>
  <c r="F180" i="1"/>
  <c r="E183" i="1"/>
  <c r="E182" i="1"/>
  <c r="E181" i="1"/>
  <c r="E180" i="1"/>
  <c r="H106" i="1"/>
  <c r="F106" i="1"/>
  <c r="E106" i="1"/>
  <c r="H14" i="1" l="1"/>
  <c r="H57" i="1" s="1"/>
  <c r="F212" i="1"/>
  <c r="F14" i="1"/>
  <c r="F57" i="1" s="1"/>
  <c r="E14" i="1"/>
  <c r="E57" i="1" s="1"/>
  <c r="H415" i="1"/>
  <c r="H412" i="1" s="1"/>
  <c r="H411" i="1" s="1"/>
  <c r="H431" i="1"/>
  <c r="H427" i="1"/>
  <c r="E427" i="1"/>
  <c r="F427" i="1"/>
  <c r="E421" i="1"/>
  <c r="E399" i="1"/>
  <c r="F421" i="1"/>
  <c r="H336" i="1"/>
  <c r="E374" i="1"/>
  <c r="E404" i="1"/>
  <c r="E403" i="1" s="1"/>
  <c r="F404" i="1"/>
  <c r="F403" i="1" s="1"/>
  <c r="H404" i="1"/>
  <c r="H403" i="1" s="1"/>
  <c r="E415" i="1"/>
  <c r="E412" i="1" s="1"/>
  <c r="E411" i="1" s="1"/>
  <c r="F415" i="1"/>
  <c r="H421" i="1"/>
  <c r="E431" i="1"/>
  <c r="F431" i="1"/>
  <c r="F412" i="1"/>
  <c r="F411" i="1" s="1"/>
  <c r="H308" i="1"/>
  <c r="H326" i="1"/>
  <c r="H325" i="1" s="1"/>
  <c r="E349" i="1"/>
  <c r="E348" i="1" s="1"/>
  <c r="F367" i="1"/>
  <c r="F374" i="1"/>
  <c r="H399" i="1"/>
  <c r="E308" i="1"/>
  <c r="H317" i="1"/>
  <c r="H391" i="1"/>
  <c r="H194" i="1"/>
  <c r="E212" i="1"/>
  <c r="F237" i="1"/>
  <c r="H223" i="1"/>
  <c r="H299" i="1"/>
  <c r="H367" i="1"/>
  <c r="F399" i="1"/>
  <c r="E391" i="1"/>
  <c r="F199" i="1"/>
  <c r="E204" i="1"/>
  <c r="H184" i="1"/>
  <c r="E215" i="1"/>
  <c r="F215" i="1"/>
  <c r="F219" i="1"/>
  <c r="H378" i="1"/>
  <c r="H377" i="1" s="1"/>
  <c r="F391" i="1"/>
  <c r="E199" i="1"/>
  <c r="E299" i="1"/>
  <c r="F299" i="1"/>
  <c r="E367" i="1"/>
  <c r="F378" i="1"/>
  <c r="F377" i="1" s="1"/>
  <c r="H279" i="1"/>
  <c r="H219" i="1"/>
  <c r="E279" i="1"/>
  <c r="H335" i="1"/>
  <c r="H334" i="1" s="1"/>
  <c r="E378" i="1"/>
  <c r="E377" i="1" s="1"/>
  <c r="F279" i="1"/>
  <c r="E194" i="1"/>
  <c r="H215" i="1"/>
  <c r="E336" i="1"/>
  <c r="H199" i="1"/>
  <c r="E219" i="1"/>
  <c r="H212" i="1"/>
  <c r="F308" i="1"/>
  <c r="H349" i="1"/>
  <c r="H348" i="1" s="1"/>
  <c r="H374" i="1"/>
  <c r="H179" i="1"/>
  <c r="H204" i="1"/>
  <c r="E179" i="1"/>
  <c r="H189" i="1"/>
  <c r="H237" i="1"/>
  <c r="F349" i="1"/>
  <c r="F348" i="1" s="1"/>
  <c r="F326" i="1"/>
  <c r="F325" i="1" s="1"/>
  <c r="E326" i="1"/>
  <c r="E325" i="1" s="1"/>
  <c r="H312" i="1"/>
  <c r="F317" i="1"/>
  <c r="F312" i="1" s="1"/>
  <c r="E317" i="1"/>
  <c r="E312" i="1" s="1"/>
  <c r="E237" i="1"/>
  <c r="F223" i="1"/>
  <c r="E223" i="1"/>
  <c r="F204" i="1"/>
  <c r="F194" i="1"/>
  <c r="F189" i="1"/>
  <c r="E189" i="1"/>
  <c r="F184" i="1"/>
  <c r="E184" i="1"/>
  <c r="F179" i="1"/>
  <c r="H177" i="1"/>
  <c r="H176" i="1"/>
  <c r="H175" i="1"/>
  <c r="H174" i="1"/>
  <c r="H173" i="1"/>
  <c r="H172" i="1"/>
  <c r="H171" i="1"/>
  <c r="H169" i="1"/>
  <c r="H168" i="1"/>
  <c r="H166" i="1"/>
  <c r="H165" i="1"/>
  <c r="H164" i="1"/>
  <c r="H162" i="1"/>
  <c r="H161" i="1"/>
  <c r="H160" i="1"/>
  <c r="H159" i="1"/>
  <c r="H158" i="1"/>
  <c r="H157" i="1"/>
  <c r="H156" i="1"/>
  <c r="H154" i="1"/>
  <c r="H153" i="1"/>
  <c r="H152" i="1"/>
  <c r="H151" i="1"/>
  <c r="H150" i="1"/>
  <c r="H149" i="1"/>
  <c r="H148" i="1"/>
  <c r="F177" i="1"/>
  <c r="F176" i="1"/>
  <c r="F175" i="1"/>
  <c r="F174" i="1"/>
  <c r="F173" i="1"/>
  <c r="F172" i="1"/>
  <c r="F171" i="1"/>
  <c r="F169" i="1"/>
  <c r="F168" i="1"/>
  <c r="F166" i="1"/>
  <c r="F165" i="1"/>
  <c r="F164" i="1"/>
  <c r="F162" i="1"/>
  <c r="F161" i="1"/>
  <c r="F160" i="1"/>
  <c r="F159" i="1"/>
  <c r="F158" i="1"/>
  <c r="F157" i="1"/>
  <c r="F156" i="1"/>
  <c r="F154" i="1"/>
  <c r="F153" i="1"/>
  <c r="F152" i="1"/>
  <c r="F151" i="1"/>
  <c r="F150" i="1"/>
  <c r="F149" i="1"/>
  <c r="F148" i="1"/>
  <c r="E177" i="1"/>
  <c r="E176" i="1"/>
  <c r="E175" i="1"/>
  <c r="E174" i="1"/>
  <c r="E173" i="1"/>
  <c r="E172" i="1"/>
  <c r="E171" i="1"/>
  <c r="E169" i="1"/>
  <c r="E168" i="1"/>
  <c r="E166" i="1"/>
  <c r="E165" i="1"/>
  <c r="E164" i="1"/>
  <c r="E162" i="1"/>
  <c r="E161" i="1"/>
  <c r="E160" i="1"/>
  <c r="E159" i="1"/>
  <c r="E158" i="1"/>
  <c r="E157" i="1"/>
  <c r="E156" i="1"/>
  <c r="E154" i="1"/>
  <c r="E153" i="1"/>
  <c r="E152" i="1"/>
  <c r="E151" i="1"/>
  <c r="E150" i="1"/>
  <c r="E149" i="1"/>
  <c r="E148" i="1"/>
  <c r="H144" i="1"/>
  <c r="H143" i="1"/>
  <c r="H142" i="1"/>
  <c r="H141" i="1"/>
  <c r="H140" i="1"/>
  <c r="F144" i="1"/>
  <c r="F143" i="1"/>
  <c r="F142" i="1"/>
  <c r="F141" i="1"/>
  <c r="F140" i="1"/>
  <c r="E144" i="1"/>
  <c r="E143" i="1"/>
  <c r="E142" i="1"/>
  <c r="E141" i="1"/>
  <c r="E140" i="1"/>
  <c r="H138" i="1"/>
  <c r="H137" i="1"/>
  <c r="H136" i="1"/>
  <c r="F138" i="1"/>
  <c r="F137" i="1"/>
  <c r="F136" i="1"/>
  <c r="E137" i="1"/>
  <c r="E136" i="1"/>
  <c r="H133" i="1"/>
  <c r="H132" i="1"/>
  <c r="H131" i="1"/>
  <c r="H130" i="1"/>
  <c r="F130" i="1"/>
  <c r="F133" i="1"/>
  <c r="F132" i="1"/>
  <c r="F131" i="1"/>
  <c r="E133" i="1"/>
  <c r="E132" i="1"/>
  <c r="E131" i="1"/>
  <c r="E130" i="1"/>
  <c r="H128" i="1"/>
  <c r="H127" i="1" s="1"/>
  <c r="H126" i="1"/>
  <c r="H125" i="1"/>
  <c r="H124" i="1"/>
  <c r="H122" i="1"/>
  <c r="H121" i="1"/>
  <c r="H120" i="1"/>
  <c r="H118" i="1"/>
  <c r="H117" i="1"/>
  <c r="H115" i="1"/>
  <c r="H114" i="1"/>
  <c r="F128" i="1"/>
  <c r="F127" i="1" s="1"/>
  <c r="F126" i="1"/>
  <c r="F125" i="1"/>
  <c r="F124" i="1"/>
  <c r="F122" i="1"/>
  <c r="F121" i="1"/>
  <c r="F120" i="1"/>
  <c r="F118" i="1"/>
  <c r="F117" i="1"/>
  <c r="F115" i="1"/>
  <c r="F114" i="1"/>
  <c r="E128" i="1"/>
  <c r="E127" i="1" s="1"/>
  <c r="E126" i="1"/>
  <c r="E125" i="1"/>
  <c r="E124" i="1"/>
  <c r="E122" i="1"/>
  <c r="E121" i="1"/>
  <c r="E120" i="1"/>
  <c r="E118" i="1"/>
  <c r="E117" i="1"/>
  <c r="E115" i="1"/>
  <c r="E114" i="1"/>
  <c r="H111" i="1"/>
  <c r="H110" i="1"/>
  <c r="H109" i="1"/>
  <c r="F110" i="1"/>
  <c r="F109" i="1"/>
  <c r="E110" i="1"/>
  <c r="E109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8" i="1"/>
  <c r="H87" i="1"/>
  <c r="H86" i="1"/>
  <c r="F104" i="1"/>
  <c r="F103" i="1"/>
  <c r="F102" i="1"/>
  <c r="F101" i="1"/>
  <c r="F100" i="1"/>
  <c r="F99" i="1"/>
  <c r="F98" i="1"/>
  <c r="F97" i="1"/>
  <c r="F96" i="1"/>
  <c r="F95" i="1"/>
  <c r="F94" i="1"/>
  <c r="F92" i="1"/>
  <c r="F91" i="1"/>
  <c r="F90" i="1"/>
  <c r="F88" i="1"/>
  <c r="F87" i="1"/>
  <c r="F86" i="1"/>
  <c r="E104" i="1"/>
  <c r="E103" i="1"/>
  <c r="E102" i="1"/>
  <c r="E101" i="1"/>
  <c r="E100" i="1"/>
  <c r="E99" i="1"/>
  <c r="E98" i="1"/>
  <c r="E97" i="1"/>
  <c r="E96" i="1"/>
  <c r="E95" i="1"/>
  <c r="E94" i="1"/>
  <c r="E92" i="1"/>
  <c r="E91" i="1"/>
  <c r="E90" i="1"/>
  <c r="E88" i="1"/>
  <c r="E87" i="1"/>
  <c r="E86" i="1"/>
  <c r="E85" i="1"/>
  <c r="H82" i="1"/>
  <c r="H81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F82" i="1"/>
  <c r="F81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4" i="1"/>
  <c r="E63" i="1"/>
  <c r="E62" i="1"/>
  <c r="E61" i="1"/>
  <c r="E60" i="1"/>
  <c r="E59" i="1"/>
  <c r="H906" i="1"/>
  <c r="F906" i="1"/>
  <c r="E906" i="1"/>
  <c r="H905" i="1"/>
  <c r="F905" i="1"/>
  <c r="E905" i="1"/>
  <c r="H904" i="1"/>
  <c r="F904" i="1"/>
  <c r="E904" i="1"/>
  <c r="H902" i="1"/>
  <c r="F902" i="1"/>
  <c r="E902" i="1"/>
  <c r="H901" i="1"/>
  <c r="F901" i="1"/>
  <c r="E901" i="1"/>
  <c r="H900" i="1"/>
  <c r="F900" i="1"/>
  <c r="E900" i="1"/>
  <c r="H899" i="1"/>
  <c r="F899" i="1"/>
  <c r="E899" i="1"/>
  <c r="H898" i="1"/>
  <c r="F898" i="1"/>
  <c r="E898" i="1"/>
  <c r="H897" i="1"/>
  <c r="F897" i="1"/>
  <c r="E897" i="1"/>
  <c r="H896" i="1"/>
  <c r="F896" i="1"/>
  <c r="E896" i="1"/>
  <c r="F892" i="1"/>
  <c r="F891" i="1" s="1"/>
  <c r="E892" i="1"/>
  <c r="E891" i="1" s="1"/>
  <c r="F890" i="1"/>
  <c r="E890" i="1"/>
  <c r="F889" i="1"/>
  <c r="F888" i="1" s="1"/>
  <c r="E889" i="1"/>
  <c r="E888" i="1" s="1"/>
  <c r="F887" i="1"/>
  <c r="E887" i="1"/>
  <c r="F884" i="1"/>
  <c r="E884" i="1"/>
  <c r="F883" i="1"/>
  <c r="E883" i="1"/>
  <c r="F880" i="1"/>
  <c r="E880" i="1"/>
  <c r="E879" i="1" s="1"/>
  <c r="F878" i="1"/>
  <c r="E878" i="1"/>
  <c r="F877" i="1"/>
  <c r="E877" i="1"/>
  <c r="F876" i="1"/>
  <c r="E876" i="1"/>
  <c r="F875" i="1"/>
  <c r="E875" i="1"/>
  <c r="F873" i="1"/>
  <c r="E873" i="1"/>
  <c r="F872" i="1"/>
  <c r="E872" i="1"/>
  <c r="F871" i="1"/>
  <c r="E871" i="1"/>
  <c r="F870" i="1"/>
  <c r="E870" i="1"/>
  <c r="F868" i="1"/>
  <c r="F867" i="1" s="1"/>
  <c r="E868" i="1"/>
  <c r="E867" i="1" s="1"/>
  <c r="F866" i="1"/>
  <c r="E866" i="1"/>
  <c r="F865" i="1"/>
  <c r="E865" i="1"/>
  <c r="F864" i="1"/>
  <c r="E864" i="1"/>
  <c r="F863" i="1"/>
  <c r="E863" i="1"/>
  <c r="F862" i="1"/>
  <c r="E862" i="1"/>
  <c r="F861" i="1"/>
  <c r="E861" i="1"/>
  <c r="E857" i="1"/>
  <c r="E856" i="1"/>
  <c r="E855" i="1"/>
  <c r="E854" i="1"/>
  <c r="H853" i="1"/>
  <c r="F853" i="1"/>
  <c r="E853" i="1"/>
  <c r="H852" i="1"/>
  <c r="F852" i="1"/>
  <c r="E852" i="1"/>
  <c r="H850" i="1"/>
  <c r="F850" i="1"/>
  <c r="E850" i="1"/>
  <c r="H849" i="1"/>
  <c r="F849" i="1"/>
  <c r="E849" i="1"/>
  <c r="H846" i="1"/>
  <c r="F846" i="1"/>
  <c r="E846" i="1"/>
  <c r="H845" i="1"/>
  <c r="F845" i="1"/>
  <c r="E845" i="1"/>
  <c r="H844" i="1"/>
  <c r="F844" i="1"/>
  <c r="E844" i="1"/>
  <c r="H843" i="1"/>
  <c r="F843" i="1"/>
  <c r="E843" i="1"/>
  <c r="H842" i="1"/>
  <c r="F842" i="1"/>
  <c r="E842" i="1"/>
  <c r="H841" i="1"/>
  <c r="H840" i="1" s="1"/>
  <c r="F841" i="1"/>
  <c r="F840" i="1" s="1"/>
  <c r="E841" i="1"/>
  <c r="E840" i="1" s="1"/>
  <c r="H839" i="1"/>
  <c r="F839" i="1"/>
  <c r="E839" i="1"/>
  <c r="H838" i="1"/>
  <c r="F838" i="1"/>
  <c r="E838" i="1"/>
  <c r="H837" i="1"/>
  <c r="F837" i="1"/>
  <c r="E837" i="1"/>
  <c r="H836" i="1"/>
  <c r="F836" i="1"/>
  <c r="E836" i="1"/>
  <c r="H834" i="1"/>
  <c r="F834" i="1"/>
  <c r="E834" i="1"/>
  <c r="H833" i="1"/>
  <c r="F833" i="1"/>
  <c r="E833" i="1"/>
  <c r="H831" i="1"/>
  <c r="F831" i="1"/>
  <c r="E831" i="1"/>
  <c r="H830" i="1"/>
  <c r="F830" i="1"/>
  <c r="E830" i="1"/>
  <c r="H829" i="1"/>
  <c r="F829" i="1"/>
  <c r="E829" i="1"/>
  <c r="H828" i="1"/>
  <c r="F828" i="1"/>
  <c r="E828" i="1"/>
  <c r="H827" i="1"/>
  <c r="E827" i="1"/>
  <c r="E826" i="1"/>
  <c r="H825" i="1"/>
  <c r="F825" i="1"/>
  <c r="E825" i="1"/>
  <c r="H824" i="1"/>
  <c r="F824" i="1"/>
  <c r="E824" i="1"/>
  <c r="H823" i="1"/>
  <c r="F823" i="1"/>
  <c r="E823" i="1"/>
  <c r="H822" i="1"/>
  <c r="F822" i="1"/>
  <c r="E822" i="1"/>
  <c r="E821" i="1"/>
  <c r="H820" i="1"/>
  <c r="F820" i="1"/>
  <c r="E820" i="1"/>
  <c r="E819" i="1"/>
  <c r="E816" i="1"/>
  <c r="H815" i="1"/>
  <c r="F815" i="1"/>
  <c r="E815" i="1"/>
  <c r="E814" i="1"/>
  <c r="H810" i="1"/>
  <c r="H809" i="1" s="1"/>
  <c r="F810" i="1"/>
  <c r="E810" i="1"/>
  <c r="E809" i="1" s="1"/>
  <c r="H808" i="1"/>
  <c r="F808" i="1"/>
  <c r="E808" i="1"/>
  <c r="H807" i="1"/>
  <c r="F807" i="1"/>
  <c r="E807" i="1"/>
  <c r="H806" i="1"/>
  <c r="F806" i="1"/>
  <c r="E806" i="1"/>
  <c r="H805" i="1"/>
  <c r="F805" i="1"/>
  <c r="E805" i="1"/>
  <c r="H804" i="1"/>
  <c r="F804" i="1"/>
  <c r="E804" i="1"/>
  <c r="H803" i="1"/>
  <c r="F803" i="1"/>
  <c r="E803" i="1"/>
  <c r="E801" i="1"/>
  <c r="H800" i="1"/>
  <c r="F800" i="1"/>
  <c r="E800" i="1"/>
  <c r="E799" i="1"/>
  <c r="H798" i="1"/>
  <c r="F798" i="1"/>
  <c r="E798" i="1"/>
  <c r="H797" i="1"/>
  <c r="F797" i="1"/>
  <c r="E797" i="1"/>
  <c r="H796" i="1"/>
  <c r="F796" i="1"/>
  <c r="E796" i="1"/>
  <c r="H795" i="1"/>
  <c r="F795" i="1"/>
  <c r="E795" i="1"/>
  <c r="H794" i="1"/>
  <c r="F794" i="1"/>
  <c r="E794" i="1"/>
  <c r="H792" i="1"/>
  <c r="F792" i="1"/>
  <c r="E792" i="1"/>
  <c r="E791" i="1"/>
  <c r="H790" i="1"/>
  <c r="F790" i="1"/>
  <c r="E790" i="1"/>
  <c r="E789" i="1"/>
  <c r="H788" i="1"/>
  <c r="F788" i="1"/>
  <c r="E788" i="1"/>
  <c r="H787" i="1"/>
  <c r="F787" i="1"/>
  <c r="E787" i="1"/>
  <c r="E786" i="1"/>
  <c r="H784" i="1"/>
  <c r="F784" i="1"/>
  <c r="E784" i="1"/>
  <c r="H783" i="1"/>
  <c r="F783" i="1"/>
  <c r="E783" i="1"/>
  <c r="H782" i="1"/>
  <c r="F782" i="1"/>
  <c r="E782" i="1"/>
  <c r="H781" i="1"/>
  <c r="F781" i="1"/>
  <c r="E781" i="1"/>
  <c r="H780" i="1"/>
  <c r="F780" i="1"/>
  <c r="E780" i="1"/>
  <c r="H779" i="1"/>
  <c r="F779" i="1"/>
  <c r="E779" i="1"/>
  <c r="H778" i="1"/>
  <c r="F778" i="1"/>
  <c r="E778" i="1"/>
  <c r="H777" i="1"/>
  <c r="F777" i="1"/>
  <c r="E777" i="1"/>
  <c r="H776" i="1"/>
  <c r="F776" i="1"/>
  <c r="E776" i="1"/>
  <c r="H775" i="1"/>
  <c r="F775" i="1"/>
  <c r="E775" i="1"/>
  <c r="H774" i="1"/>
  <c r="F774" i="1"/>
  <c r="E774" i="1"/>
  <c r="H773" i="1"/>
  <c r="F773" i="1"/>
  <c r="E773" i="1"/>
  <c r="H772" i="1"/>
  <c r="F772" i="1"/>
  <c r="E772" i="1"/>
  <c r="H770" i="1"/>
  <c r="F770" i="1"/>
  <c r="E770" i="1"/>
  <c r="E769" i="1"/>
  <c r="H768" i="1"/>
  <c r="F768" i="1"/>
  <c r="E768" i="1"/>
  <c r="H767" i="1"/>
  <c r="F767" i="1"/>
  <c r="E767" i="1"/>
  <c r="H766" i="1"/>
  <c r="F766" i="1"/>
  <c r="E766" i="1"/>
  <c r="E765" i="1"/>
  <c r="E764" i="1"/>
  <c r="H763" i="1"/>
  <c r="F763" i="1"/>
  <c r="E763" i="1"/>
  <c r="E762" i="1"/>
  <c r="H761" i="1"/>
  <c r="F761" i="1"/>
  <c r="E761" i="1"/>
  <c r="H760" i="1"/>
  <c r="F760" i="1"/>
  <c r="E760" i="1"/>
  <c r="E759" i="1"/>
  <c r="E758" i="1"/>
  <c r="E757" i="1"/>
  <c r="E756" i="1"/>
  <c r="E755" i="1"/>
  <c r="E754" i="1"/>
  <c r="E753" i="1"/>
  <c r="H750" i="1"/>
  <c r="F750" i="1"/>
  <c r="E750" i="1"/>
  <c r="E748" i="1"/>
  <c r="H747" i="1"/>
  <c r="F747" i="1"/>
  <c r="E747" i="1"/>
  <c r="H746" i="1"/>
  <c r="F746" i="1"/>
  <c r="E746" i="1"/>
  <c r="H745" i="1"/>
  <c r="F745" i="1"/>
  <c r="E745" i="1"/>
  <c r="E744" i="1"/>
  <c r="H743" i="1"/>
  <c r="F743" i="1"/>
  <c r="E743" i="1"/>
  <c r="H742" i="1"/>
  <c r="F742" i="1"/>
  <c r="E742" i="1"/>
  <c r="H741" i="1"/>
  <c r="F741" i="1"/>
  <c r="E741" i="1"/>
  <c r="H740" i="1"/>
  <c r="F740" i="1"/>
  <c r="E740" i="1"/>
  <c r="H739" i="1"/>
  <c r="F739" i="1"/>
  <c r="E739" i="1"/>
  <c r="H738" i="1"/>
  <c r="F738" i="1"/>
  <c r="E738" i="1"/>
  <c r="H737" i="1"/>
  <c r="F737" i="1"/>
  <c r="E737" i="1"/>
  <c r="E736" i="1"/>
  <c r="H735" i="1"/>
  <c r="F735" i="1"/>
  <c r="E735" i="1"/>
  <c r="E734" i="1"/>
  <c r="H733" i="1"/>
  <c r="F733" i="1"/>
  <c r="E733" i="1"/>
  <c r="H732" i="1"/>
  <c r="F732" i="1"/>
  <c r="E732" i="1"/>
  <c r="E731" i="1"/>
  <c r="H728" i="1"/>
  <c r="H726" i="1" s="1"/>
  <c r="E728" i="1"/>
  <c r="E727" i="1"/>
  <c r="H724" i="1"/>
  <c r="F724" i="1"/>
  <c r="E724" i="1"/>
  <c r="H723" i="1"/>
  <c r="F723" i="1"/>
  <c r="E723" i="1"/>
  <c r="H722" i="1"/>
  <c r="E722" i="1"/>
  <c r="H720" i="1"/>
  <c r="F720" i="1"/>
  <c r="E720" i="1"/>
  <c r="E719" i="1"/>
  <c r="H716" i="1"/>
  <c r="F716" i="1"/>
  <c r="E716" i="1"/>
  <c r="H715" i="1"/>
  <c r="F715" i="1"/>
  <c r="E715" i="1"/>
  <c r="H714" i="1"/>
  <c r="F714" i="1"/>
  <c r="E714" i="1"/>
  <c r="H713" i="1"/>
  <c r="F713" i="1"/>
  <c r="E713" i="1"/>
  <c r="H712" i="1"/>
  <c r="F712" i="1"/>
  <c r="E712" i="1"/>
  <c r="H711" i="1"/>
  <c r="F711" i="1"/>
  <c r="E711" i="1"/>
  <c r="H710" i="1"/>
  <c r="F710" i="1"/>
  <c r="E710" i="1"/>
  <c r="H709" i="1"/>
  <c r="F709" i="1"/>
  <c r="E709" i="1"/>
  <c r="H708" i="1"/>
  <c r="F708" i="1"/>
  <c r="E708" i="1"/>
  <c r="H707" i="1"/>
  <c r="F707" i="1"/>
  <c r="E707" i="1"/>
  <c r="H706" i="1"/>
  <c r="F706" i="1"/>
  <c r="E706" i="1"/>
  <c r="H705" i="1"/>
  <c r="F705" i="1"/>
  <c r="E705" i="1"/>
  <c r="H704" i="1"/>
  <c r="F704" i="1"/>
  <c r="E704" i="1"/>
  <c r="H703" i="1"/>
  <c r="F703" i="1"/>
  <c r="E703" i="1"/>
  <c r="H702" i="1"/>
  <c r="F702" i="1"/>
  <c r="E702" i="1"/>
  <c r="H701" i="1"/>
  <c r="F701" i="1"/>
  <c r="E701" i="1"/>
  <c r="F696" i="1"/>
  <c r="E696" i="1"/>
  <c r="E695" i="1" s="1"/>
  <c r="F694" i="1"/>
  <c r="E694" i="1"/>
  <c r="F693" i="1"/>
  <c r="E693" i="1"/>
  <c r="F692" i="1"/>
  <c r="E692" i="1"/>
  <c r="F689" i="1"/>
  <c r="E689" i="1"/>
  <c r="F688" i="1"/>
  <c r="E688" i="1"/>
  <c r="F687" i="1"/>
  <c r="E687" i="1"/>
  <c r="F686" i="1"/>
  <c r="E686" i="1"/>
  <c r="F685" i="1"/>
  <c r="E685" i="1"/>
  <c r="F684" i="1"/>
  <c r="E684" i="1"/>
  <c r="F167" i="1" l="1"/>
  <c r="E390" i="1"/>
  <c r="H390" i="1"/>
  <c r="H420" i="1"/>
  <c r="H441" i="1" s="1"/>
  <c r="F420" i="1"/>
  <c r="F441" i="1" s="1"/>
  <c r="E167" i="1"/>
  <c r="E420" i="1"/>
  <c r="E441" i="1" s="1"/>
  <c r="H222" i="1"/>
  <c r="H108" i="1"/>
  <c r="H105" i="1" s="1"/>
  <c r="F390" i="1"/>
  <c r="H178" i="1"/>
  <c r="H211" i="1"/>
  <c r="F89" i="1"/>
  <c r="F116" i="1"/>
  <c r="H135" i="1"/>
  <c r="H134" i="1" s="1"/>
  <c r="H364" i="1"/>
  <c r="E211" i="1"/>
  <c r="E119" i="1"/>
  <c r="F119" i="1"/>
  <c r="H170" i="1"/>
  <c r="H729" i="1"/>
  <c r="H93" i="1"/>
  <c r="F135" i="1"/>
  <c r="E163" i="1"/>
  <c r="H163" i="1"/>
  <c r="F211" i="1"/>
  <c r="E882" i="1"/>
  <c r="H89" i="1"/>
  <c r="F163" i="1"/>
  <c r="H895" i="1"/>
  <c r="F903" i="1"/>
  <c r="E58" i="1"/>
  <c r="F58" i="1"/>
  <c r="F93" i="1"/>
  <c r="E178" i="1"/>
  <c r="E874" i="1"/>
  <c r="H58" i="1"/>
  <c r="F108" i="1"/>
  <c r="E116" i="1"/>
  <c r="E851" i="1"/>
  <c r="E108" i="1"/>
  <c r="E123" i="1"/>
  <c r="F123" i="1"/>
  <c r="E129" i="1"/>
  <c r="H167" i="1"/>
  <c r="F222" i="1"/>
  <c r="E222" i="1"/>
  <c r="F178" i="1"/>
  <c r="F848" i="1"/>
  <c r="F879" i="1"/>
  <c r="H123" i="1"/>
  <c r="E147" i="1"/>
  <c r="H155" i="1"/>
  <c r="E89" i="1"/>
  <c r="E93" i="1"/>
  <c r="H119" i="1"/>
  <c r="F129" i="1"/>
  <c r="H129" i="1"/>
  <c r="H147" i="1"/>
  <c r="H116" i="1"/>
  <c r="H139" i="1"/>
  <c r="F170" i="1"/>
  <c r="F155" i="1"/>
  <c r="F147" i="1"/>
  <c r="E170" i="1"/>
  <c r="E155" i="1"/>
  <c r="F139" i="1"/>
  <c r="E139" i="1"/>
  <c r="E135" i="1"/>
  <c r="F869" i="1"/>
  <c r="E848" i="1"/>
  <c r="F851" i="1"/>
  <c r="E895" i="1"/>
  <c r="F885" i="1"/>
  <c r="H721" i="1"/>
  <c r="H903" i="1"/>
  <c r="E860" i="1"/>
  <c r="F895" i="1"/>
  <c r="E903" i="1"/>
  <c r="F700" i="1"/>
  <c r="H717" i="1"/>
  <c r="F721" i="1"/>
  <c r="F729" i="1"/>
  <c r="E885" i="1"/>
  <c r="F874" i="1"/>
  <c r="H785" i="1"/>
  <c r="H818" i="1"/>
  <c r="H817" i="1" s="1"/>
  <c r="F860" i="1"/>
  <c r="E869" i="1"/>
  <c r="F882" i="1"/>
  <c r="H700" i="1"/>
  <c r="E700" i="1"/>
  <c r="E771" i="1"/>
  <c r="H848" i="1"/>
  <c r="E691" i="1"/>
  <c r="E690" i="1" s="1"/>
  <c r="F752" i="1"/>
  <c r="F751" i="1" s="1"/>
  <c r="H832" i="1"/>
  <c r="E683" i="1"/>
  <c r="E682" i="1" s="1"/>
  <c r="H793" i="1"/>
  <c r="H835" i="1"/>
  <c r="F695" i="1"/>
  <c r="F809" i="1"/>
  <c r="E835" i="1"/>
  <c r="E832" i="1"/>
  <c r="F832" i="1"/>
  <c r="F683" i="1"/>
  <c r="F818" i="1"/>
  <c r="E726" i="1"/>
  <c r="E729" i="1"/>
  <c r="H752" i="1"/>
  <c r="H751" i="1" s="1"/>
  <c r="E752" i="1"/>
  <c r="E751" i="1" s="1"/>
  <c r="E785" i="1"/>
  <c r="F785" i="1"/>
  <c r="H771" i="1"/>
  <c r="E793" i="1"/>
  <c r="F793" i="1"/>
  <c r="E717" i="1"/>
  <c r="F717" i="1"/>
  <c r="E802" i="1"/>
  <c r="F802" i="1"/>
  <c r="H802" i="1"/>
  <c r="E813" i="1"/>
  <c r="E812" i="1" s="1"/>
  <c r="H851" i="1"/>
  <c r="F771" i="1"/>
  <c r="E818" i="1"/>
  <c r="E817" i="1" s="1"/>
  <c r="F835" i="1"/>
  <c r="E721" i="1"/>
  <c r="F691" i="1"/>
  <c r="F817" i="1" l="1"/>
  <c r="H84" i="1"/>
  <c r="H725" i="1"/>
  <c r="H699" i="1" s="1"/>
  <c r="E847" i="1"/>
  <c r="E881" i="1"/>
  <c r="E84" i="1"/>
  <c r="F112" i="1"/>
  <c r="H146" i="1"/>
  <c r="H324" i="1" s="1"/>
  <c r="F847" i="1"/>
  <c r="H894" i="1"/>
  <c r="H907" i="1" s="1"/>
  <c r="H112" i="1"/>
  <c r="F725" i="1"/>
  <c r="F699" i="1" s="1"/>
  <c r="F894" i="1"/>
  <c r="F907" i="1" s="1"/>
  <c r="H811" i="1"/>
  <c r="E146" i="1"/>
  <c r="E894" i="1"/>
  <c r="E907" i="1" s="1"/>
  <c r="E811" i="1"/>
  <c r="E698" i="1"/>
  <c r="F859" i="1"/>
  <c r="F749" i="1"/>
  <c r="H847" i="1"/>
  <c r="E859" i="1"/>
  <c r="F881" i="1"/>
  <c r="F682" i="1"/>
  <c r="E749" i="1"/>
  <c r="F690" i="1"/>
  <c r="E725" i="1"/>
  <c r="H749" i="1"/>
  <c r="H524" i="1"/>
  <c r="F524" i="1"/>
  <c r="E524" i="1"/>
  <c r="H523" i="1"/>
  <c r="F523" i="1"/>
  <c r="E523" i="1"/>
  <c r="H521" i="1"/>
  <c r="H520" i="1" s="1"/>
  <c r="F521" i="1"/>
  <c r="E521" i="1"/>
  <c r="E520" i="1" s="1"/>
  <c r="H519" i="1"/>
  <c r="H518" i="1" s="1"/>
  <c r="F519" i="1"/>
  <c r="E519" i="1"/>
  <c r="E518" i="1" s="1"/>
  <c r="H517" i="1"/>
  <c r="F517" i="1"/>
  <c r="E517" i="1"/>
  <c r="H516" i="1"/>
  <c r="F516" i="1"/>
  <c r="E516" i="1"/>
  <c r="E515" i="1"/>
  <c r="H512" i="1"/>
  <c r="H511" i="1" s="1"/>
  <c r="H510" i="1" s="1"/>
  <c r="F512" i="1"/>
  <c r="E512" i="1"/>
  <c r="E511" i="1" s="1"/>
  <c r="E510" i="1" s="1"/>
  <c r="H509" i="1"/>
  <c r="H508" i="1" s="1"/>
  <c r="F509" i="1"/>
  <c r="E509" i="1"/>
  <c r="E508" i="1" s="1"/>
  <c r="H507" i="1"/>
  <c r="H506" i="1" s="1"/>
  <c r="F507" i="1"/>
  <c r="E507" i="1"/>
  <c r="E506" i="1" s="1"/>
  <c r="H504" i="1"/>
  <c r="H503" i="1" s="1"/>
  <c r="F504" i="1"/>
  <c r="E504" i="1"/>
  <c r="E503" i="1" s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6" i="1"/>
  <c r="F496" i="1"/>
  <c r="E496" i="1"/>
  <c r="H495" i="1"/>
  <c r="F495" i="1"/>
  <c r="E495" i="1"/>
  <c r="H494" i="1"/>
  <c r="F494" i="1"/>
  <c r="E494" i="1"/>
  <c r="H491" i="1"/>
  <c r="F491" i="1"/>
  <c r="E491" i="1"/>
  <c r="H490" i="1"/>
  <c r="F490" i="1"/>
  <c r="E490" i="1"/>
  <c r="H489" i="1"/>
  <c r="F489" i="1"/>
  <c r="E489" i="1"/>
  <c r="E488" i="1"/>
  <c r="H487" i="1"/>
  <c r="F487" i="1"/>
  <c r="E487" i="1"/>
  <c r="H484" i="1"/>
  <c r="F484" i="1"/>
  <c r="E484" i="1"/>
  <c r="H483" i="1"/>
  <c r="F483" i="1"/>
  <c r="E483" i="1"/>
  <c r="H482" i="1"/>
  <c r="F482" i="1"/>
  <c r="E482" i="1"/>
  <c r="H479" i="1"/>
  <c r="F479" i="1"/>
  <c r="E479" i="1"/>
  <c r="H478" i="1"/>
  <c r="F478" i="1"/>
  <c r="E478" i="1"/>
  <c r="E477" i="1"/>
  <c r="F472" i="1"/>
  <c r="F471" i="1" s="1"/>
  <c r="E472" i="1"/>
  <c r="E471" i="1" s="1"/>
  <c r="F470" i="1"/>
  <c r="E470" i="1"/>
  <c r="F469" i="1"/>
  <c r="E469" i="1"/>
  <c r="F467" i="1"/>
  <c r="F466" i="1" s="1"/>
  <c r="E467" i="1"/>
  <c r="E466" i="1" s="1"/>
  <c r="F465" i="1"/>
  <c r="E465" i="1"/>
  <c r="F464" i="1"/>
  <c r="E464" i="1"/>
  <c r="F463" i="1"/>
  <c r="E463" i="1"/>
  <c r="F461" i="1"/>
  <c r="E461" i="1"/>
  <c r="F460" i="1"/>
  <c r="E460" i="1"/>
  <c r="F458" i="1"/>
  <c r="E458" i="1"/>
  <c r="F457" i="1"/>
  <c r="E457" i="1"/>
  <c r="F455" i="1"/>
  <c r="E455" i="1"/>
  <c r="E454" i="1" s="1"/>
  <c r="H449" i="1"/>
  <c r="F449" i="1"/>
  <c r="E449" i="1"/>
  <c r="H448" i="1"/>
  <c r="F448" i="1"/>
  <c r="E448" i="1"/>
  <c r="H447" i="1"/>
  <c r="F447" i="1"/>
  <c r="E447" i="1"/>
  <c r="H444" i="1"/>
  <c r="H443" i="1" s="1"/>
  <c r="H442" i="1" s="1"/>
  <c r="F444" i="1"/>
  <c r="E443" i="1"/>
  <c r="E442" i="1" s="1"/>
  <c r="H145" i="1" l="1"/>
  <c r="F811" i="1"/>
  <c r="F476" i="1"/>
  <c r="F446" i="1"/>
  <c r="F445" i="1" s="1"/>
  <c r="F468" i="1"/>
  <c r="E446" i="1"/>
  <c r="E445" i="1" s="1"/>
  <c r="E456" i="1"/>
  <c r="E468" i="1"/>
  <c r="E893" i="1"/>
  <c r="F459" i="1"/>
  <c r="E462" i="1"/>
  <c r="E459" i="1"/>
  <c r="H858" i="1"/>
  <c r="F456" i="1"/>
  <c r="F462" i="1"/>
  <c r="F698" i="1"/>
  <c r="F893" i="1"/>
  <c r="F443" i="1"/>
  <c r="F442" i="1" s="1"/>
  <c r="F506" i="1"/>
  <c r="F503" i="1"/>
  <c r="F520" i="1"/>
  <c r="E699" i="1"/>
  <c r="F454" i="1"/>
  <c r="F508" i="1"/>
  <c r="F511" i="1"/>
  <c r="F518" i="1"/>
  <c r="E522" i="1"/>
  <c r="E505" i="1"/>
  <c r="E486" i="1"/>
  <c r="E485" i="1" s="1"/>
  <c r="H481" i="1"/>
  <c r="H480" i="1" s="1"/>
  <c r="H476" i="1"/>
  <c r="H475" i="1" s="1"/>
  <c r="E498" i="1"/>
  <c r="E497" i="1" s="1"/>
  <c r="H446" i="1"/>
  <c r="H445" i="1" s="1"/>
  <c r="F486" i="1"/>
  <c r="H486" i="1"/>
  <c r="H485" i="1" s="1"/>
  <c r="H493" i="1"/>
  <c r="H492" i="1" s="1"/>
  <c r="E514" i="1"/>
  <c r="E513" i="1" s="1"/>
  <c r="H505" i="1"/>
  <c r="E481" i="1"/>
  <c r="E480" i="1" s="1"/>
  <c r="F481" i="1"/>
  <c r="H498" i="1"/>
  <c r="H497" i="1" s="1"/>
  <c r="E493" i="1"/>
  <c r="E492" i="1" s="1"/>
  <c r="F493" i="1"/>
  <c r="F498" i="1"/>
  <c r="E476" i="1"/>
  <c r="E475" i="1" s="1"/>
  <c r="F514" i="1"/>
  <c r="H514" i="1"/>
  <c r="H513" i="1" s="1"/>
  <c r="F522" i="1"/>
  <c r="H522" i="1"/>
  <c r="F858" i="1" l="1"/>
  <c r="F453" i="1"/>
  <c r="E453" i="1"/>
  <c r="E474" i="1" s="1"/>
  <c r="H474" i="1"/>
  <c r="F505" i="1"/>
  <c r="F497" i="1"/>
  <c r="F475" i="1"/>
  <c r="F480" i="1"/>
  <c r="F485" i="1"/>
  <c r="E858" i="1"/>
  <c r="F510" i="1"/>
  <c r="F513" i="1"/>
  <c r="F492" i="1"/>
  <c r="H525" i="1"/>
  <c r="E525" i="1"/>
  <c r="F373" i="1"/>
  <c r="F372" i="1" s="1"/>
  <c r="F364" i="1" s="1"/>
  <c r="E373" i="1"/>
  <c r="E372" i="1" s="1"/>
  <c r="E364" i="1" s="1"/>
  <c r="H363" i="1"/>
  <c r="H362" i="1" s="1"/>
  <c r="H361" i="1"/>
  <c r="H360" i="1"/>
  <c r="F363" i="1"/>
  <c r="F362" i="1" s="1"/>
  <c r="E363" i="1"/>
  <c r="E362" i="1" s="1"/>
  <c r="F361" i="1"/>
  <c r="E361" i="1"/>
  <c r="F360" i="1"/>
  <c r="E360" i="1"/>
  <c r="E347" i="1"/>
  <c r="E345" i="1"/>
  <c r="E344" i="1"/>
  <c r="E341" i="1"/>
  <c r="F337" i="1"/>
  <c r="F336" i="1" s="1"/>
  <c r="F335" i="1" s="1"/>
  <c r="F334" i="1" s="1"/>
  <c r="E681" i="1" l="1"/>
  <c r="E359" i="1"/>
  <c r="E358" i="1" s="1"/>
  <c r="E335" i="1"/>
  <c r="E346" i="1"/>
  <c r="F359" i="1"/>
  <c r="F358" i="1" s="1"/>
  <c r="F402" i="1" s="1"/>
  <c r="F525" i="1"/>
  <c r="F474" i="1"/>
  <c r="H359" i="1"/>
  <c r="H358" i="1" s="1"/>
  <c r="F146" i="1"/>
  <c r="F324" i="1" s="1"/>
  <c r="E334" i="1" l="1"/>
  <c r="F681" i="1"/>
  <c r="H402" i="1"/>
  <c r="E324" i="1"/>
  <c r="F134" i="1"/>
  <c r="E134" i="1"/>
  <c r="F111" i="1"/>
  <c r="E111" i="1"/>
  <c r="E107" i="1"/>
  <c r="E113" i="1"/>
  <c r="E112" i="1" s="1"/>
  <c r="E402" i="1" l="1"/>
  <c r="F105" i="1"/>
  <c r="E105" i="1"/>
  <c r="E145" i="1" s="1"/>
  <c r="F84" i="1"/>
  <c r="F145" i="1" l="1"/>
</calcChain>
</file>

<file path=xl/sharedStrings.xml><?xml version="1.0" encoding="utf-8"?>
<sst xmlns="http://schemas.openxmlformats.org/spreadsheetml/2006/main" count="2711" uniqueCount="1327">
  <si>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</si>
  <si>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</si>
  <si>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</si>
  <si>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программы</t>
  </si>
  <si>
    <t>Выполнено (тыс. руб.)</t>
  </si>
  <si>
    <t>Профинансировано (тыс. руб.)</t>
  </si>
  <si>
    <t>Степень и результаты выполнения  мероприятия в соответствии с перечнем стандартных процедур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</si>
  <si>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</si>
  <si>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</si>
  <si>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Подпрограмма 1</t>
  </si>
  <si>
    <t>Подпрограмма 2</t>
  </si>
  <si>
    <t>Подпрограмма 3</t>
  </si>
  <si>
    <t>Подпрограмма 4</t>
  </si>
  <si>
    <t>Итого по муниципальной программе</t>
  </si>
  <si>
    <t>Мероприятие 1.1.</t>
  </si>
  <si>
    <t>Мероприятие 1.2.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</si>
  <si>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проживание, медикаменты, форма, инструктаж)       </t>
  </si>
  <si>
    <t>Мероприятие 1.3.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</si>
  <si>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</si>
  <si>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>Мероприятие 1.4.</t>
  </si>
  <si>
    <t>Шахматный турнир среди общеобразовательных школ</t>
  </si>
  <si>
    <t>Мероприятие 1.5.</t>
  </si>
  <si>
    <t>Открытый новогодний турнир по баскетболу</t>
  </si>
  <si>
    <t>Мероприятие 1.6.</t>
  </si>
  <si>
    <t xml:space="preserve">Спортивные мероприятия проводимые в Праздник труда       </t>
  </si>
  <si>
    <t>Мероприятие 1.7.</t>
  </si>
  <si>
    <t xml:space="preserve">Спортивные мероприятия проводимые в День Победы       </t>
  </si>
  <si>
    <t>Мероприятие 1.8.</t>
  </si>
  <si>
    <t xml:space="preserve">Спортивные мероприятия, проводимые в День защиты детей </t>
  </si>
  <si>
    <t>Мероприятие 1.9.</t>
  </si>
  <si>
    <t xml:space="preserve">Спортивные  мероприятия, проводимые в День молодежи   </t>
  </si>
  <si>
    <t>Мероприятие 1.10.</t>
  </si>
  <si>
    <t>Спортивные мероприятия, проводимые в День города</t>
  </si>
  <si>
    <t>Мероприятие 1.11.</t>
  </si>
  <si>
    <t>Спортивные мероприятия, проводимые в День физкультурника</t>
  </si>
  <si>
    <t>Мероприятие 1.12.</t>
  </si>
  <si>
    <t xml:space="preserve">Дежурство на мероприятиях бригады скорой помощи       </t>
  </si>
  <si>
    <t>Мероприятие 1.13.</t>
  </si>
  <si>
    <t>Организация и проведение соревнований по восточным единоборствам (самбо, тактическая борьба, айкидо и т.д.)</t>
  </si>
  <si>
    <t>Мероприятие 1.14.</t>
  </si>
  <si>
    <t>Проведение турнира по баскетболу памяти В.И.Зенкина и В.А.Марьина</t>
  </si>
  <si>
    <t>Мероприятие 1.15.</t>
  </si>
  <si>
    <t>Проведение спортивных мероприятий памяти героев России.</t>
  </si>
  <si>
    <t>Мероприятие 1.16.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</si>
  <si>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</si>
  <si>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Мероприятие 1.17.</t>
  </si>
  <si>
    <t>Приобретение спортивного инвентаря. Спортивной формы, спортивного оборудования и других товаров</t>
  </si>
  <si>
    <t>Мероприятие 1.18.</t>
  </si>
  <si>
    <t>Турнир по футболу ДЮСШ «Приалит»</t>
  </si>
  <si>
    <t>Мероприятие 1.19.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</si>
  <si>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</si>
  <si>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Мероприятие 1.20.</t>
  </si>
  <si>
    <t>Аренда спортивных залов.</t>
  </si>
  <si>
    <t>Мероприятие 1.21.</t>
  </si>
  <si>
    <t>Организация и проведение соревнований в МАУ "Физкультурно-оздоровительный комплекс"</t>
  </si>
  <si>
    <t>Мероприятие 1.22.</t>
  </si>
  <si>
    <t>Обеспечение участия спортсменов МАУ "Физкультурно-оздровительный комплекс" в спортивных сборах и выездах, в том числе зарубежных, и в соревнованиях различного ранга (в т.ч. проживание, транспорт, питание, страховой взнос, диспансеризация), в том числе зарубежных</t>
  </si>
  <si>
    <t>Мероприятие 1.23.</t>
  </si>
  <si>
    <t>Семейные спортивные праздники</t>
  </si>
  <si>
    <t>Мероприятие 1.24.</t>
  </si>
  <si>
    <t>Проведение физкультурно-оздоровительных мероприятий для горожан старшего возраста и людей с ограниченными физическими возможностями</t>
  </si>
  <si>
    <t>Мероприятие 1.25.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</si>
  <si>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</si>
  <si>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>Укрепление материально-технической базы МУ «СОКИ «Риск-М»</t>
  </si>
  <si>
    <t>Укрепление материально-технической базы МАУ «Спортивный комплекс «Старт»</t>
  </si>
  <si>
    <t>Реконструкция спортивного комплекса «Старт»</t>
  </si>
  <si>
    <t>Строительство спортивных площадок</t>
  </si>
  <si>
    <t xml:space="preserve">Капитальный ремонт и приобретение оборудования для оснащения плоскостных спортивных сооружений </t>
  </si>
  <si>
    <t>Мероприятие 1.5.1.</t>
  </si>
  <si>
    <t>Капитальный ремонт и приобретение оборудования для оснащения плоскостных спортивных сооружений (г.Реутов, ул. Проспект Мира)</t>
  </si>
  <si>
    <t>Мероприятие 1.5.2.</t>
  </si>
  <si>
    <t>Капитальный ремонт и приобретение оборудования для оснащения плоскостных спортивных сооружений (г. Реутов, ул. Комсомольская)</t>
  </si>
  <si>
    <t>Мероприятие 1.5.3.</t>
  </si>
  <si>
    <t>Капитальный ремонт и приобретение оборудования для оснащения плоскостных спортивных сооружений (г.Реутов, ул. Новая)</t>
  </si>
  <si>
    <t>Подготовка основания, приобретение и установка площадок для занятий силовой гимнастикой (воркаут)</t>
  </si>
  <si>
    <t>Мероприятие 1.6.1.</t>
  </si>
  <si>
    <t>Подготовка основания, приобретение и установка площадок для занятий силовой гимнастикой (воркаут) (г.Реутов, ул. Южная)</t>
  </si>
  <si>
    <t>Мероприятие 1.6.2.</t>
  </si>
  <si>
    <t>Подготовка основания, приобретение и установка площадок для занятий силовой гимнастикой (воркаут) (г.Реутов, ул.Новая)</t>
  </si>
  <si>
    <t>Мероприятие 1.6.3.</t>
  </si>
  <si>
    <t>Подготовка основания, приобретение и установка площадок для занятий силовой гимнастикой (воркаут) (г.Реутов, ул.Войтовича)</t>
  </si>
  <si>
    <t>Мероприятие 1.6.4.</t>
  </si>
  <si>
    <t>Подготовка основания, приобретение и установка площадок для занятий силовой гимнастикой (воркаут) (г.Реутов, ул. Советская)</t>
  </si>
  <si>
    <t>Укрепление материально-технической базы МАУ «Физкультурно-оздоровительный комплекс»</t>
  </si>
  <si>
    <t>Снос аварийного здания ул.Новая, 1а (тир)</t>
  </si>
  <si>
    <t xml:space="preserve">Подпрограмма III «Обеспечение деятельности подведомственных учреждений».
</t>
  </si>
  <si>
    <t>Обеспечение финансирования муниципального казенного учреждения   «СОКИ «Риск-М»</t>
  </si>
  <si>
    <t>Предоставление субсидии на выполнение муниципального задания МАУ «Спортивный комплекс «Старт»</t>
  </si>
  <si>
    <t>Предоставление субсидии МАУ ГОРОДА РЕУТОВ «ФУТБОЛЬНЫЙ КЛУБ «ПРИАЛИТ РЕУТОВ»</t>
  </si>
  <si>
    <t>Мероприятие 1.3.1.</t>
  </si>
  <si>
    <t>Предоставление субсидии на иные цели</t>
  </si>
  <si>
    <t>Мероприятие 1.3.2.</t>
  </si>
  <si>
    <t>Предоставление субсидии на выполнение муниципального задания МАУ ГОРОДА РЕУТОВ «ФУТБОЛЬНЫЙ КЛУБ «ПРИАЛИТ»</t>
  </si>
  <si>
    <t>Предоставление субсидии на выполнение муниципального задания МАУ «Физкультурно-оздоровительный комплекс»</t>
  </si>
  <si>
    <t xml:space="preserve">Подпрограмма IV «Молодежь города Реутов на 2017 – 2021 годы».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</si>
  <si>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</si>
  <si>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</si>
  <si>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</si>
  <si>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Мероприятие 2.1.</t>
  </si>
  <si>
    <t>Организация и проведение мероприятий по гражданско-патриотическому и духовно-нравственному воспитанию молодежи</t>
  </si>
  <si>
    <t>Мероприятие 2.1.1.</t>
  </si>
  <si>
    <t>Организация и проведение мероприятий по патриотическому воспитанию, формированию российской идентичности и традиционных семейных ценностей</t>
  </si>
  <si>
    <t>Мероприятие 2.1.2.</t>
  </si>
  <si>
    <t>Организация и проведение мероприятий по вовлечению молодежи в здоровый образ жизни</t>
  </si>
  <si>
    <t>Мероприятие 3.1.</t>
  </si>
  <si>
    <t>Организация и проведение мероприятий по профориентации и реализации трудового и творческого потенциала молодежи</t>
  </si>
  <si>
    <t>Мероприятие 3.1.1.</t>
  </si>
  <si>
    <t>Организация и проведение мероприятий по вовлечению молодежи в инновационную деятельность и научно-техническое творчество</t>
  </si>
  <si>
    <t>Мероприятие 3.1.2.</t>
  </si>
  <si>
    <t xml:space="preserve">Организация и проведение мероприятий по поддержке молодежных творческих инициатив </t>
  </si>
  <si>
    <t>Мероприятие 3.1.3.</t>
  </si>
  <si>
    <t>Организация и проведение мероприятий по поддержке молодежного предпринимательства</t>
  </si>
  <si>
    <t>Мероприятие 4.1.</t>
  </si>
  <si>
    <t>Организация мероприятий по развитию молодежных общественных организаций и добровольческой деятельности</t>
  </si>
  <si>
    <t>Мероприятие 4.1.1.</t>
  </si>
  <si>
    <t>Организация и проведение мероприятий по вовлечению молодежи в международное, межрегиональное и межмуниципальное сотрудничество</t>
  </si>
  <si>
    <t>Мероприятие 4.1.2.</t>
  </si>
  <si>
    <t>Организация и проведение мероприятий по вовлечению молодежи в добровольческую деятельность</t>
  </si>
  <si>
    <t>Мероприятие 4.1.3.</t>
  </si>
  <si>
    <t>Обеспечение участия делегаций Московской области в мероприятиях Центрального федерального округа, Федерального агентства по делам молодежи, государственной  программы «Патриотическое воспитание граждан Российской Федерации», Российского союза молодежи и других</t>
  </si>
  <si>
    <t>Мероприятие 5.1.</t>
  </si>
  <si>
    <t>Организация и проведение мероприятий по повышению профессионального уровня специалистов в сфере работы с молодежью</t>
  </si>
  <si>
    <t>Мероприятие 5.1.1.</t>
  </si>
  <si>
    <t>Организация и проведение мероприятий по обучению, переобучению, повышению квалификации и обмену опытом специалистов, занятых в сфере работы с молодежью</t>
  </si>
  <si>
    <t>Подпрограмма 5</t>
  </si>
  <si>
    <t xml:space="preserve">Подпрограмма V «Обеспечивающая подпрограмма». 
</t>
  </si>
  <si>
    <t>Обеспечение деятельности отдела по физической культуре, спорту и работе с молодежью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</si>
  <si>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</si>
  <si>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</si>
  <si>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</si>
  <si>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</si>
  <si>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>Подпрограмма VI  «Подготовка спортивного резерва».</t>
  </si>
  <si>
    <t>Обеспечение деятельности подведомственных муниципальных   учреждений  города Реутов, обеспечивающих подготовку спортивного резерва.</t>
  </si>
  <si>
    <t>Мероприятие 1.1.1.</t>
  </si>
  <si>
    <t xml:space="preserve">Предоставление субсидии на оказание муниципальных услуг (выполнение работ) муниципальными бюджетными учреждениями, подведомственными отделу по физической культуре, спорту и работе с молодежью города Реутов Московской области. </t>
  </si>
  <si>
    <t>Мероприятие 1.1.2.</t>
  </si>
  <si>
    <t>Предоставление субсидии на иные цели на обеспечение участия спортсменов  в соревнованиях различных уровней, в т.ч. проезд, проживание, питание, медицинское сопровождение.</t>
  </si>
  <si>
    <t>Мероприятие 1.1.3.</t>
  </si>
  <si>
    <t>Предоставление субсидии на иные цели на организацию и проведение физкультурно-спортивных мероприятий в МБУ «Спортивная школа»</t>
  </si>
  <si>
    <t>Подпрограмма 7</t>
  </si>
  <si>
    <t>Подпрограмма VII «Организация спортивно-оздоровительных мероприятий социальной направленности»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</si>
  <si>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</si>
  <si>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</si>
  <si>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</si>
  <si>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</si>
  <si>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</si>
  <si>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Основное мероприятие 11.</t>
  </si>
  <si>
    <t>Приобретение оборудования и спортивного инвентаря для организации тренировочного процесса для Муниципального бюджетного учреждения «Спортивная школа»</t>
  </si>
  <si>
    <t>Приобретение оборудования и спортивного инвентаря для организации тренировочного процесса для Муниципального автономного учреждения «Спортивный комплекс «Старт»</t>
  </si>
  <si>
    <t>Основное мероприятие 12.</t>
  </si>
  <si>
    <t>Основное мероприятие 13.</t>
  </si>
  <si>
    <t>Муниципальная программа городского округа Реутов Московской области «Жилище» на 2017-2021 годы</t>
  </si>
  <si>
    <t>"Экология и охрана окружающей среды" городского округа Реутов Московской области на 2017-2021г.г.</t>
  </si>
  <si>
    <t>"Формирование комфортной городской среды" на 2018-2022 годы"</t>
  </si>
  <si>
    <t>"Развитие инженерной инфраструктуры и энерогоэффективности" на 2018-2022 годы"</t>
  </si>
  <si>
    <t xml:space="preserve"> "Цифровой городской округ Реутов" на 2018-2022 годы</t>
  </si>
  <si>
    <t>"Развитие системы информирования населения городского округа Реутов о деятельности органов местного самоуправления на 2017-2021 годы"</t>
  </si>
  <si>
    <t>"Развитие образования и воспитание в городском округе Реутов на 2017-2021 годы"</t>
  </si>
  <si>
    <t>"Управление имуществом и финансами городского округа Реутов на 2018-2022 годы"</t>
  </si>
  <si>
    <t>"Развитие и сохранение культуры в городском округе Реутов на 2017-2021 год"</t>
  </si>
  <si>
    <t>"Развитие дорожно-транспортного комплекса в городском округе Реутов на 2017-2021 годы"</t>
  </si>
  <si>
    <t>"Социальная защита населения города Реутов» на 2017-2021 годы"</t>
  </si>
  <si>
    <t>"Безопасность городского округа Реутов на 2017-2021 годы"</t>
  </si>
  <si>
    <t>"Развитие физической культуры и спорта в городском округе Реутов на 2017-2021 годы"</t>
  </si>
  <si>
    <t>"Предпринимательство на 2017-2021 годы"</t>
  </si>
  <si>
    <t xml:space="preserve">Выполнение 0 процентов
</t>
  </si>
  <si>
    <t xml:space="preserve">Модернизация и укрепление материально-технической базы муниципальных учреждений физической культуры и спорта
</t>
  </si>
  <si>
    <t xml:space="preserve">Выполнение 6.4 процента
</t>
  </si>
  <si>
    <t xml:space="preserve">Финансирование мероприятия в 2019 году не предусмотрено
</t>
  </si>
  <si>
    <t>Подготовка основания, приобретение и установка скейт-парка (г. Реутов, Юбилейный проспект)</t>
  </si>
  <si>
    <t>Приобретение спортивного оборудования и инвентаря для Муниципального автономного учреждения «Физкультурно-оздоровительный комплекс»</t>
  </si>
  <si>
    <t>Проектно-изыскательные работы объекта "Академия вратарского мастерства имени Акинфеева" в городском округе Реутов (ул. Новая, д. 1а)</t>
  </si>
  <si>
    <t xml:space="preserve">Выполнение 39,5 процентов
</t>
  </si>
  <si>
    <t xml:space="preserve">Выполнение 46,6 процентов
</t>
  </si>
  <si>
    <t xml:space="preserve">Выполнение 34,7 процентов
</t>
  </si>
  <si>
    <t xml:space="preserve">Выполнение 100 процентов
</t>
  </si>
  <si>
    <t>ЗА 1 ПОЛУГОДИЕ 2019</t>
  </si>
  <si>
    <t>Профилактика преступлений и иных правонарушений в городском округе Реутов на 2017–2021 годы</t>
  </si>
  <si>
    <t>Основное мероприятие 1.</t>
  </si>
  <si>
    <t>Предупреждение террористических акций и повышение степени антитеррористической защищенности социально значимых объектов и мест с массовым пребыванием людей</t>
  </si>
  <si>
    <t>обеспечение охраны муниципальных учреждений, подведомственных Управлению образования Администрации г.о. Реутов</t>
  </si>
  <si>
    <t>обеспечение охраны муниципальных учреждений, подведомственных отделу по физической культуре и спорту Администрации г.о. Реутов</t>
  </si>
  <si>
    <t>Обеспечение охраны муниципальных учреждений, подведомственных отделу культуры и молодежной политики Администрации г.о. Реутов</t>
  </si>
  <si>
    <t>Охрана административного здания (ул. Победы д.7)</t>
  </si>
  <si>
    <t>Обеспечение охраны городского парка и городского пруда</t>
  </si>
  <si>
    <t>Обеспечение охраны административного здания МУ "ЭД и ПП" (пр. Мира 51)</t>
  </si>
  <si>
    <t xml:space="preserve">Приобретение технических средств, оборудования, сопутствующих материалов для обеспечения деятельности отдела территориальной безопасности Администрации г.о. Реутов </t>
  </si>
  <si>
    <t>Основное мероприятие 2.</t>
  </si>
  <si>
    <t xml:space="preserve">Внедрение современных средств наблюдения и оповещения о правонарушениях, обеспечение оперативного принятия решений в целях обеспечения правопорядка и безопасности граждан </t>
  </si>
  <si>
    <t xml:space="preserve">Приобретение средств связи, оргтехники, технических средств видеонаблюдения, их установка, ремонт и обслуживание </t>
  </si>
  <si>
    <t>Мероприятие 2.2.</t>
  </si>
  <si>
    <t>Оплата договоров по незамедлительному реагированию на сигналы КТС в муниципальных учреждениях</t>
  </si>
  <si>
    <t>Мероприятие 2.3.</t>
  </si>
  <si>
    <t>Оплата услуг за обслуживание объектов, оборудованных средствами автоматического контроля с выводом на пульт централизованного наблюдения</t>
  </si>
  <si>
    <t>Мероприятие 2.4.</t>
  </si>
  <si>
    <t>Оплата поставок электроэнергии для обслуживания городских видеокамер.</t>
  </si>
  <si>
    <t>Мероприятие 2.5.</t>
  </si>
  <si>
    <t>Техническое обслуживание кнопок тревожной сигнализации</t>
  </si>
  <si>
    <t>Мероприятие 2.6.</t>
  </si>
  <si>
    <t>Услуги по обслуживанию системы охранного видеонаблюдения и системы управления доступом</t>
  </si>
  <si>
    <t>Мероприятие 2.7.</t>
  </si>
  <si>
    <t>Контроль и обслуживание комплекса технических средств охраны</t>
  </si>
  <si>
    <t>Основное мероприятие 3.</t>
  </si>
  <si>
    <t>Снижение количества преступлений, совершенных на территории города. Обеспечение деятельности объединений правоохранительной направленности</t>
  </si>
  <si>
    <t>Приобретение средств связи для обеспечения радиосвязью во время проведения массовых мероприятий</t>
  </si>
  <si>
    <t>Мероприятие 3.2.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</si>
  <si>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</si>
  <si>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Мероприятие 3.3.</t>
  </si>
  <si>
    <t>Обеспечение деятельности общественных мероприятий правоохранительной направленности</t>
  </si>
  <si>
    <t>Основное мероприятие 4.</t>
  </si>
  <si>
    <t>Профилактика и предупреждение проявлений экстремизма</t>
  </si>
  <si>
    <t>Проведение семинаров для руководителей и специалистов муниципальных образовательных учреждений по вопросам профилактике и предупреждения проявлений экстремизма среди несовершеннолетних</t>
  </si>
  <si>
    <t>Мероприятие 4.2.</t>
  </si>
  <si>
    <t>Проведение конкурсов плакатов и рисунков антиэкстремистской направленности. Приобретение призов и расходных материалов.</t>
  </si>
  <si>
    <t>Основное мероприятие 5.</t>
  </si>
  <si>
    <t>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</si>
  <si>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</si>
  <si>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Мероприятие 5.2.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</si>
  <si>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«Готов к защите Отечества» и приобретение призов для победителей турнира.</t>
  </si>
  <si>
    <t>Мероприятие 5.3.</t>
  </si>
  <si>
    <t>Раздача агитационных материалов по профилактике наркомании и приобретение призов в период проведения городских соревнований по футболу среди дворовых команд «Вперед мальчишки»</t>
  </si>
  <si>
    <t>Мероприятие 5.4.</t>
  </si>
  <si>
    <t>Приобретение иммунохроматографических тестов для проведения тестирования в образовательных учреждениях по выявлению учащихся, употребляющих наркотические и психоактивные вещества</t>
  </si>
  <si>
    <t>Мероприятие 5.5.</t>
  </si>
  <si>
    <t>Внедрение профилактических программ в образовательных организациях. Закупка учебно – методических материалов</t>
  </si>
  <si>
    <t>Мероприятие 5.6.</t>
  </si>
  <si>
    <t>Повышение квалификации специалистов и подготовка волонтеров</t>
  </si>
  <si>
    <t>Мероприятие 5.7.</t>
  </si>
  <si>
    <t>Организация информационно – пропагандистского сопровождения антинаркотической деятельности</t>
  </si>
  <si>
    <t>Снижение рисков и смягчение последствий чрезвычайных ситуаций природного и техногенного характера в городском округе Реутов на 2017-2021 годы</t>
  </si>
  <si>
    <t>Разработка организационных и планирующих документов в области предупреждения и ликвидации чрезвычайных ситуаций:</t>
  </si>
  <si>
    <t>Паспорта безопасности городского округа Реутов Московской области</t>
  </si>
  <si>
    <t xml:space="preserve">Плана ликвидации  аварийного разлива нефти и нефтепродуктов на территории городского округа Реутов Московской области </t>
  </si>
  <si>
    <t>Паспорта территории городского округа Реутов</t>
  </si>
  <si>
    <t>Паспорта территорий микрорайонов городского округа Реутов</t>
  </si>
  <si>
    <t>Организация подготовки и проведения учений и тренировок по действиям в условиях чрезвычайных ситуаций</t>
  </si>
  <si>
    <t>Проведение тактико-специального учения со сводной командой городского округа Реутов</t>
  </si>
  <si>
    <t>Проведение объектовых тренировок по действиям органов управления, персонала и НАСФ в условиях чрезвычайных ситуаций</t>
  </si>
  <si>
    <t>Приобретение имущества, средств связи, фото и видеоаппаратуры, 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комплексных учений и тренировок с подразделениями Реутовского городского звена МОСЧ</t>
  </si>
  <si>
    <t>Техническое обслуживание средств связи, фото и видеоаппаратуры, систем видеонаблюдения</t>
  </si>
  <si>
    <t>Развитие учебно-материальной базы в области защиты от чрезвычайных ситуаций: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</si>
  <si>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</si>
  <si>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 в муниципальных образовательных учреждениях</t>
  </si>
  <si>
    <t>Изготовление информационных буклетов, листовок, брошюр по тематике предупреждения и ликвидации чрезвычайных ситуаций</t>
  </si>
  <si>
    <t>Мероприятие 3.4.</t>
  </si>
  <si>
    <t>Организация обучения сотрудников Администрации городского округа Реутов в учебно-методическом центре (оплата за обучение, проживание в гостинице и проезд)</t>
  </si>
  <si>
    <t>Создание резерва финансовых и материальных ресурсов для ликвидации чрезвычайных ситуаций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</si>
  <si>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</si>
  <si>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>Создание резерва материальных ресурсов организаций городского округа Реутов для ликвидации чрезвычайных ситуаций, в том числе последствий террористических актов</t>
  </si>
  <si>
    <t>Мероприятие 4.3.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</si>
  <si>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</si>
  <si>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Мероприятие 4.4.</t>
  </si>
  <si>
    <t>Создание резерва финансовых ресурсов организаций городского округа Реутов для ликвидации чрезвычайных ситуаций</t>
  </si>
  <si>
    <t>Обеспечение безопасности людей на водных объектах городского округа</t>
  </si>
  <si>
    <t>Изготовление и установка  предупреждающих и информационных указателей, стендов</t>
  </si>
  <si>
    <t>Издание листовок и брошюр по тематике обеспечения безопасности людей на водных объектах</t>
  </si>
  <si>
    <t>Поставки учебных пособий по тематике обеспечения безопасности людей на водных объектах</t>
  </si>
  <si>
    <t>Организация обучения детей плаванию и приемам спасения на воде в профильных учреждениях города</t>
  </si>
  <si>
    <t>Основное мероприятие 6.</t>
  </si>
  <si>
    <t>Обеспечение деятельности муниципального казенного учреждения «Единая дежурная диспетчерская служба города Реутов» и системы «112»</t>
  </si>
  <si>
    <t>Мероприятие 6.1.</t>
  </si>
  <si>
    <t>Расходы на оплату заработной платы и суточных сотрудникам МКУ «ЕДДС г. Реутов»</t>
  </si>
  <si>
    <t>Мероприятие 6.2.</t>
  </si>
  <si>
    <t>Оплата услуг банка за перечисление заработной платы сотрудникам</t>
  </si>
  <si>
    <t>Мероприятие 6.3.</t>
  </si>
  <si>
    <t>Налог на имущество</t>
  </si>
  <si>
    <t>Мероприятие 6.4.</t>
  </si>
  <si>
    <t>Расходы на функционирование, административно-хозяйственную деятельность МКУ «ЕДДС  г. Реутов» (разработка документов, 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Оплата коммунальных услуг). Прочие расходы</t>
  </si>
  <si>
    <t>Мероприятие 6.5.</t>
  </si>
  <si>
    <t>Организация обучения сотрудников МКУ «ЕДДС г. Реутов» в учебно-методическом центре (оплата за обучение, проживание сотрудников в гостинице и проезд), создание и развитие учебно-материальной базы (приобретение учебно-методической литературы, пособий, изготовление плакатов)</t>
  </si>
  <si>
    <t>Мероприятие 6.6.</t>
  </si>
  <si>
    <t>Поставки форменной одежды для обеспечения сотрудников МКУ «ЕДДС г. Реутов»</t>
  </si>
  <si>
    <t>Развитие и совершенствование систем оповещения и информирования населения в городском округе Реутов на 2017-2021 годы</t>
  </si>
  <si>
    <t>Развитие и совершенствование системы связи и оповещения Реутовского городского звена МОСЧС:</t>
  </si>
  <si>
    <t>Закупка переносных мегафонов</t>
  </si>
  <si>
    <t>Закупка пусковых блоков автоматизированной системы централизованного оповещения</t>
  </si>
  <si>
    <t>Развитие и модернизация системы коллективного оповещения, её техническое обслуживание:</t>
  </si>
  <si>
    <t xml:space="preserve">Техническое обслуживание местной системы коллективного оповещения 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</si>
  <si>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</si>
  <si>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</si>
  <si>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Построение, внедрение и развитие АПК «Безопасный город» в городском округе Реутов</t>
  </si>
  <si>
    <t>Разработка технического проекта «Единого пункта управления Комплексной системы обеспечения безопасности жизнедеятельности населения города Реутов» (ЕПУ КСОБЖН)</t>
  </si>
  <si>
    <t>Монтажные и пусконаладочные работы системы экстренного вызова с установкой уличных колонн</t>
  </si>
  <si>
    <t>Обеспечение пожарной безопасности в городском округе Реутов на 2017-2021 годы</t>
  </si>
  <si>
    <t>Обеспечение пожарной безопасности</t>
  </si>
  <si>
    <t>Разработка, изготовление и распространение в жилом секторе города Реутов памяток и листовок на противопожарную тематику</t>
  </si>
  <si>
    <t>Изготовление стендов «Уголок пожарной безопасности»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</si>
  <si>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</si>
  <si>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</si>
  <si>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</si>
  <si>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 (поэтапное дооснащение и модернизация)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</si>
  <si>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</si>
  <si>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</t>
  </si>
  <si>
    <t>Техническое обслуживание автоматической пожарной сигнализации и системы оповещения о пожаре</t>
  </si>
  <si>
    <t>Установка автономных дымовых пожарных извещателей в помещениях городского округа Реутов, в которых проживают многодетные семьи и семьи, находящиеся в трудной жизненной ситуации</t>
  </si>
  <si>
    <t>Оснащение автономными дымовыми пожарными извещателями помещений городского округа Реутов, в которых проживают многодетные семьи и семьи, находящиеся в трудной жизненной ситуации</t>
  </si>
  <si>
    <t>Поставка элементов электропитания для оснащения автономных дымовых пожарных извещателей, установленных в помещениях, в которых проживают многодетные семьи и семьи, попавшие в трудную жизненную ситуацию</t>
  </si>
  <si>
    <t>Техническое обслуживание пожарной сигнализации</t>
  </si>
  <si>
    <t>Обеспечение пожарной безопасности на объектах культуры и спорта:</t>
  </si>
  <si>
    <t xml:space="preserve">Обслуживание системы передачи тревожного сигнала пожарной сигнализации с МАУ «Спорткомплекс «Старт» на станцию мониторинга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</si>
  <si>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дополнительного образования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</si>
  <si>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</si>
  <si>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дополнительного образования </t>
  </si>
  <si>
    <t>Техническое обслуживание системы передачи сигнала пожарной сигнализации с учреждений, подведомственных отделу культуры на станцию мониторинга: - учреждений культуры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</si>
  <si>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</si>
  <si>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Техническое обслуживание системы автоматической пожарной сигнализации физкультурно-оздоровительного комплекса</t>
  </si>
  <si>
    <t>Мероприятие 2.8.</t>
  </si>
  <si>
    <t>Закупка первичных средств пожаротушения, знаков пожарной безопасности и изготовление плана эвакуации для МАУ «ФОК»</t>
  </si>
  <si>
    <t>Мероприятие 2.9.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</si>
  <si>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</si>
  <si>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Мероприятие 2.10.</t>
  </si>
  <si>
    <t>Техническое обслуживание системы автоматической пожарной сигнализации в МУ «Подростково-молодежный центр»</t>
  </si>
  <si>
    <t>Мероприятие 2.11.</t>
  </si>
  <si>
    <t>Обучение  ответственного  за противопожарные мероприятия в МУ «Подростково-молодежный центр»</t>
  </si>
  <si>
    <t>Мероприятие 2.12.</t>
  </si>
  <si>
    <t>Выполнение противопожарных мероприятий в помещениях МУ «СОКИ «Риск-М»</t>
  </si>
  <si>
    <t>Мероприятие 2.13.</t>
  </si>
  <si>
    <t>Работы по противопожарной обработке деревянных конструкций в МУ «Молодежный культурно-досуговый центр»</t>
  </si>
  <si>
    <t>Мероприятие 2.14.</t>
  </si>
  <si>
    <t>Обучение ответственного за противопожарные мероприятия в МАУ «Физкультурно-оздоровительный комплекс»</t>
  </si>
  <si>
    <t>Мероприятие 2.15.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</si>
  <si>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</si>
  <si>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Мероприятие 2.16.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</si>
  <si>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</si>
  <si>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>Мероприятие 2.17.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</si>
  <si>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</si>
  <si>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Мероприятие 2.18.</t>
  </si>
  <si>
    <t>Техническое обслуживание системы автоматической пожарной сигнализации в МБУ «Спортивная школа»</t>
  </si>
  <si>
    <t>Мероприятие 2.19.</t>
  </si>
  <si>
    <t>Техническое обслуживание системы передачи тревожного сигнала пожарной сигнализации в МБУ «Спортивная школа»</t>
  </si>
  <si>
    <t>Мероприятие 2.20.</t>
  </si>
  <si>
    <t>Испытание систем внутреннего пожарного водопровода с перекаткой рукавов в МБУ «Спортивная школа»</t>
  </si>
  <si>
    <t>Мероприятие 2.21.</t>
  </si>
  <si>
    <t>Обучение сотрудников МБУ «Спортивная школа» пожарно-техническому минимуму»</t>
  </si>
  <si>
    <t>Мероприятие 2.22.</t>
  </si>
  <si>
    <t>Огнезащитная обработка деревянных конструкций здания МБУ «Спортивная школа», штор, проверка на прочность»</t>
  </si>
  <si>
    <t>Мероприятие 2.23.</t>
  </si>
  <si>
    <t xml:space="preserve">Приобретение и замена пожарного оборудования в МБУ «Спортивная школа» </t>
  </si>
  <si>
    <t>Мероприятие 2.24.</t>
  </si>
  <si>
    <t>Устранение нарушений по пожарной безопасности: замена дверей в МУК «Централизованная библиотечная система»</t>
  </si>
  <si>
    <t>Мероприятие 2.25.</t>
  </si>
  <si>
    <t>Выполнение работ по ремонту АПС «Музейно-выставочного центра»</t>
  </si>
  <si>
    <t>Мероприятие 2.26.</t>
  </si>
  <si>
    <t>Заправка огнетушителей в МАУ «Спортивный комплекс «Старт»</t>
  </si>
  <si>
    <t>Мероприятие 2.27.</t>
  </si>
  <si>
    <t>Установка пожарного оборудования, приобретение пожарных рукавов с возможностью их дальнейшего подключения в МУК «Централизованная библиотечная система»</t>
  </si>
  <si>
    <t>Мероприятие 2.28.</t>
  </si>
  <si>
    <t>Установка программно-аппаратного комплекса «Стрелец-мониторинг» в МБУ «Спортивная школа»</t>
  </si>
  <si>
    <t>Мероприятие 2.29.</t>
  </si>
  <si>
    <t>Обслуживание программно-аппаратного комплекса «Стрелец-мониторинг» в МБУ «Спортивная школа»</t>
  </si>
  <si>
    <t>Мероприятие 2.30.</t>
  </si>
  <si>
    <t>Установка программно-аппаратного комплекса «Стрелец-мониторинг» в МУ «СОКИ «Риск-М»</t>
  </si>
  <si>
    <t>Мероприятие 2.31.</t>
  </si>
  <si>
    <t>Обслуживание программно-аппаратного комплекса «Стрелец-мониторинг» в МУ «СОКИ «Риск-М»</t>
  </si>
  <si>
    <t>Мероприятие 2.32.</t>
  </si>
  <si>
    <t>Установка программно-аппаратного комплекса «Стрелец-мониторинг» в МУК «Централизованная библиотечная система»</t>
  </si>
  <si>
    <t>Мероприятие 2.33.</t>
  </si>
  <si>
    <t>Обслуживание программно-аппаратного комплекса «Стрелец-мониторинг» в МУК «Централизованная библиотечная система»</t>
  </si>
  <si>
    <t>Мероприятие 2.34.</t>
  </si>
  <si>
    <t>Установка программно-аппаратного комплекса «Стрелец-мониторинг» в МУ «Молодежный культурно-досуговый центр»</t>
  </si>
  <si>
    <t>Мероприятие 2.35.</t>
  </si>
  <si>
    <t>Обслуживание программно-аппаратного комплекса «Стрелец-мониторинг» в МУ «Молодежный культурно-досуговый центр»</t>
  </si>
  <si>
    <t>Мероприятие 2.36.</t>
  </si>
  <si>
    <t>Техническое обслуживание системы автоматической пожарной сигнализации в МУ «Спортивно-оздоровительный клуб инвалидов «Риск-М»</t>
  </si>
  <si>
    <t>Мероприятие 2.37.</t>
  </si>
  <si>
    <t>Обеспечение пожарной безопасности в МАУ «Спортивный комплекс «Старт»</t>
  </si>
  <si>
    <t>Мероприятие 2.38.</t>
  </si>
  <si>
    <t>Испытание систем внутреннего пожарного водопровода с перекаткой рукавов в МАУ «Физкультурно-оздоровительный комплекс»</t>
  </si>
  <si>
    <t>Мероприятие 2.39.</t>
  </si>
  <si>
    <t>Приобретение огнетушителей и подставок под них для учреждений централизованной библиотечной системы</t>
  </si>
  <si>
    <t>Мероприятие 2.40.</t>
  </si>
  <si>
    <t>Техническое обслуживание системы дымоудаления в МАУДО "Детская художественная школа"</t>
  </si>
  <si>
    <t>Мероприятие 2.41.</t>
  </si>
  <si>
    <t>Заправка и приобретение огнетушителей в МАУ «Спортивный комплекс «Старт»</t>
  </si>
  <si>
    <t>Обеспечение пожарной безопасности на объектах образования:</t>
  </si>
  <si>
    <t>Техническое обслуживание системы автоматической пожарной сигнализации в учреждениях, образования</t>
  </si>
  <si>
    <t>Техническое обслуживание системы передачи тревожного сигнала пожарной сигнализации с учреждений образования на городскую станцию мониторинга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</si>
  <si>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</t>
  </si>
  <si>
    <t>Техническое обслуживание системы светозвукового оповещения для маломобильных граждан муниципальные общеобразовательные учреждения школа № 10, Гимназия</t>
  </si>
  <si>
    <t>Мероприятие 3.5.</t>
  </si>
  <si>
    <t>Обучение пожарно-техническому минимуму персонала образовательных учреждений</t>
  </si>
  <si>
    <t>Мероприятие 3.6.</t>
  </si>
  <si>
    <t>Огнезащитная обработка деревянных конструкций зданий и сооружений, штор, проверка на горючесть</t>
  </si>
  <si>
    <t>Мероприятие 3.7.</t>
  </si>
  <si>
    <t>Обслуживание систем противодымной защиты</t>
  </si>
  <si>
    <t>Мероприятие 3.8.</t>
  </si>
  <si>
    <t>Замена, ремонт, модернизация автоматической пожарной сигнализации (АПС), выработавшей установленные сроки эксплуатации</t>
  </si>
  <si>
    <t>Мероприятие 3.9.</t>
  </si>
  <si>
    <t>Замер сопротивления изоляции электропроводки в образовательных организациях</t>
  </si>
  <si>
    <t>Мероприятие 3.10.</t>
  </si>
  <si>
    <t>Приобретение первичных средств пожаротушения</t>
  </si>
  <si>
    <t>Мероприятие 3.11.</t>
  </si>
  <si>
    <t>Испытание систем внутреннего пожарного водопровода в образовательных организациях</t>
  </si>
  <si>
    <t>Мероприятие 3.12.</t>
  </si>
  <si>
    <t>Испытание наружных эвакуационных противопожарных лестниц</t>
  </si>
  <si>
    <t>Мероприятие 3.13.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</si>
  <si>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</t>
  </si>
  <si>
    <t>Мероприятие 3.14.</t>
  </si>
  <si>
    <t>Автоматические установки пожаротушения (пиростикеры)</t>
  </si>
  <si>
    <t>Мероприятие 3.15.</t>
  </si>
  <si>
    <t>Перекатка пожарных рукавов</t>
  </si>
  <si>
    <t>Мероприятие 3.16.</t>
  </si>
  <si>
    <t>Оснащение системой АПС «Стрелец-мониторинг» образовательных учреждений городского округа Реутов</t>
  </si>
  <si>
    <t>Мероприятие 3.17.</t>
  </si>
  <si>
    <t>Техническое обслуживание АПС «Стрелец-мониторинг» образовательных учреждений городского округа Реутов</t>
  </si>
  <si>
    <t>Мероприятие 3.18.</t>
  </si>
  <si>
    <t>Приобретение и замена аккумулятора видеонаблюдения, цепного привода окон, ремонт усилителя громкости</t>
  </si>
  <si>
    <t>Мероприятие 3.19.</t>
  </si>
  <si>
    <t>Установка металлических противопожарных дверей</t>
  </si>
  <si>
    <t>Обеспечение пожарной безопасности в административных зданиях</t>
  </si>
  <si>
    <t>Проверка внутреннего пожарного водопровода и перекатка с перекаткой пожарных рукавов и техническое обслуживание системы дымоудаления</t>
  </si>
  <si>
    <t xml:space="preserve">Аттестация и установка противопожарных дверей в электрощитовой и серверной </t>
  </si>
  <si>
    <t>Расчет категорий и класса помещений, изготовление планов эвакуации</t>
  </si>
  <si>
    <t>Монтаж системы оповещения о пожаре</t>
  </si>
  <si>
    <t>Мероприятие 4.5.</t>
  </si>
  <si>
    <t>Замер сопротивления изоляции электросетей здания</t>
  </si>
  <si>
    <t>Мероприятие 4.6.</t>
  </si>
  <si>
    <t>Проведение независимой оценки пожарного риска по объекту ул. Лесная, д. 4</t>
  </si>
  <si>
    <t>Мероприятие 4.7.</t>
  </si>
  <si>
    <t>Проведение мероприятий по обеспечению пожарной безопасности</t>
  </si>
  <si>
    <t>Мероприятие 4.8.</t>
  </si>
  <si>
    <t xml:space="preserve">Обеспечение пожарной безопасности на объектах </t>
  </si>
  <si>
    <t>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</si>
  <si>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</si>
  <si>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</si>
  <si>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</si>
  <si>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Обеспечение мероприятий гражданской обороны в городском округе Реутов на 2017-2021 годы</t>
  </si>
  <si>
    <t>Создание запасов материально-технических, продовольственных, медицинских и иных средств для целей гражданской обороны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</si>
  <si>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дегазирующих дезинфицирующих, дезактивирующих веществ и растворов)</t>
  </si>
  <si>
    <t>Повышение степени готовности ЗСГО к приёму укрываемого населения</t>
  </si>
  <si>
    <t>Ремонт и техническое обслуживание системы вентиляции учебного класса ГО (приобретение фильтров и средств регенерации (ФЯР, ФПУ 200Т, ГК-1.2-9, ДК-1, ДК-2, УЗС-1, МЗС-2))</t>
  </si>
  <si>
    <t>Реализация и обеспечение плана гражданской обороны и защиты населения городского округа Реутов Московской области</t>
  </si>
  <si>
    <t>Создание в городе Реутов системы учебно-консультативных пунктов по ГО, ЧС и ПБ при муниципальных учреждениях образования, здравоохранения, социальной сферы и жилищно-коммунальных органах, оборудование учебных классов ГО, ЧС и ПБ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литературы, изготовление брошюр, памяток и листовок  для распространения среди населения)</t>
  </si>
  <si>
    <t>Изготовление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</si>
  <si>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</si>
  <si>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</si>
  <si>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>Обеспечение доведения до населения городского округа Реутов сигналов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</si>
  <si>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</si>
  <si>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Социальная защита  отдельных категорий граждан города Реутов</t>
  </si>
  <si>
    <t>Оказание социальной поддержки отдельным категориям граждан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</si>
  <si>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</si>
  <si>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</si>
  <si>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</si>
  <si>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</si>
  <si>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</si>
  <si>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Предоставление единовременной денежной выплаты лицам, удостоенным звания «Почетный гражданин города Реутов»</t>
  </si>
  <si>
    <t>Мониторинг сведений о заработной плате в организациях и на предприятиях</t>
  </si>
  <si>
    <t>Развитие системы отдыха и оздоровления детей</t>
  </si>
  <si>
    <t xml:space="preserve">Организация отдыха, оздоровления и занятости детей в дни школьных каникул </t>
  </si>
  <si>
    <t>Организация отдыха детей младшего школьного возраста на базе организаций образования</t>
  </si>
  <si>
    <t>Подготовка лагерей  дневного пребывания, организованных на базе организаций образования к открытию: проведение семинара по охране труда</t>
  </si>
  <si>
    <t>Организация отдыха и оздоровления детей из различных категорий семей, в т.ч. с ТЖС, 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</si>
  <si>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т.ч., с ТЖС,  в учреждениях отдыха и санаторно-оздоровительных учреждениях в других субъектах РФ (Черноморское побережье).</t>
  </si>
  <si>
    <t>Организация работы по частичной компенсации 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</si>
  <si>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</si>
  <si>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</si>
  <si>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отдыха и оздоровления детей из семей с ТЖС,  в загородных учреждениях отдыха Подмосковья и в других субъектах РФ (Черноморское побережье) по путевкам от МСЗН МО через РУСЗН.</t>
  </si>
  <si>
    <t>Приобретение путевок (билетов) на организацию отдыха детей в военно-спортивный лагерь Подмосковья.</t>
  </si>
  <si>
    <t>Организация работы по трудовой занятости подростков в дни школьных каникул</t>
  </si>
  <si>
    <t>Организация летних молодежных отрядов труда и отдыха</t>
  </si>
  <si>
    <t>Доступная среда</t>
  </si>
  <si>
    <t>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</t>
  </si>
  <si>
    <t>Оборудование пешеходных переходов</t>
  </si>
  <si>
    <t>Актуализация сведений паспортов доступности объектов социальной сферы</t>
  </si>
  <si>
    <t>Проведение мониторинга по выявлению объектов, подлежащих оснащению специальными приспособлениями и оборудованием</t>
  </si>
  <si>
    <t>Проведение мониторинга с целью выявления образовательных запросов детей-инвалидов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</si>
  <si>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программам)условий для получения детьми-инвалидами качественного образования</t>
  </si>
  <si>
    <t>Оборудование пандусом входной группы МУК "ЦБС" (филиал №1, №3) по адресу: Юбилейный пр-т д. 38</t>
  </si>
  <si>
    <t>Оборудование пандусом входной группы отделения почты России по адресу: ул. Ленина д.22</t>
  </si>
  <si>
    <t>Приобретение информационных табло со шрифтом Брайля, противоскользящего покрытия, беспроводного вызова помощника Пульсар, тактильных светонакопительных знаков для библиотек города</t>
  </si>
  <si>
    <t>Предоставление гражданам субсидий на оплату жилого помещения и коммунальных услуг в городе  Реутов</t>
  </si>
  <si>
    <t>Организация исполнения государственных полномочий по предоставлению гражданам жилищных субсидий на оплату жилого помещения и коммунальных услуг</t>
  </si>
  <si>
    <t>Предоставление гражданам жилищных субсидий на оплату жилого помещения и  коммунальных услуг</t>
  </si>
  <si>
    <t xml:space="preserve">Услуги за доставку и пересылку субсидий кредитным организациям </t>
  </si>
  <si>
    <t>Организация обеспечения исполнения государственных полномочий Московской области по предоставлению гражданам жилищных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</si>
  <si>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</si>
  <si>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</si>
  <si>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>Развитие системы медицинской профилактики неинфекционных заболеваний и формирование здорового образа жизни у населения города Реутов</t>
  </si>
  <si>
    <t>Создание условий для проведения диспансеризации</t>
  </si>
  <si>
    <t>Социальная поддержка медицинских работников, повышение престижа профессии врача и среднего медицинского работника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</si>
  <si>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</si>
  <si>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Строительство пристройки к городской поликлинике №1 (ул. Гагарина д.4)</t>
  </si>
  <si>
    <t>Предоставление компенсационных выплат иногородним врачам для оплаты найма жилого помещения</t>
  </si>
  <si>
    <t>Создание условий для оказания медицинской помощи населению</t>
  </si>
  <si>
    <t>Охрана материнства и детства</t>
  </si>
  <si>
    <t>Обеспечение полноценным питанием беременных женщин, кормящих матерей и детей в возрасте до трех лет</t>
  </si>
  <si>
    <t>Снижение уровня производственного травматизма</t>
  </si>
  <si>
    <t>Мониторинг состояния условий и охраны труда</t>
  </si>
  <si>
    <t>Участие в расследовании несчастных случаев на производстве</t>
  </si>
  <si>
    <t>Формирование навыков безопасного поведения у различных категорий участников дорожного движения</t>
  </si>
  <si>
    <t>Предупреждение опасного поведения участников дорожного движения</t>
  </si>
  <si>
    <t>Обучение безопасному поведению на улицах и дорогах города «Безопасность на дорогах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</si>
  <si>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</si>
  <si>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</si>
  <si>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</si>
  <si>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«Зеленый огонек»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</si>
  <si>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</si>
  <si>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</si>
  <si>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«Дорогу детям»</t>
  </si>
  <si>
    <t>Проведение игры-квест на знание правил дорожного движения «Безопасная дорога» (пешеходная зона в северной части города )</t>
  </si>
  <si>
    <t>Проведение игры-квест «Знание ПДД залог безопасности на дорогах» (городской парк в южной части города)</t>
  </si>
  <si>
    <t>Проведение городского конкурса рисунков «Безопасный путь домой»</t>
  </si>
  <si>
    <t>Развитие и поддержка социально ориентированных некоммерческих организаций в городском округе Реутов</t>
  </si>
  <si>
    <t>Осуществление финансовой поддержки социально ориентированных некоммерческих организаций</t>
  </si>
  <si>
    <t>Предоставление субсидии социально ориентированным некоммерческим организациям на реализацию программ (проектов) в сфере социальной защиты населения</t>
  </si>
  <si>
    <t>Предоставление субсидии социально ориентированным некоммерческим организациям на реализацию программ (проектов) в сфере культуры</t>
  </si>
  <si>
    <t>Предоставление субсидии социально ориентированным некоммерческим организациям, реализующим основные образовательные программы дошкольного образования в качестве основного вида деятельности</t>
  </si>
  <si>
    <t>Предоставление субсидии социально ориентированным некоммерческим организациям, оказывающим услугу присмотра и ухода за детьми</t>
  </si>
  <si>
    <t>Предоставление субсидии социально ориентированным некоммерческим организациям, реализующим основные образовательные программы начального общего, основного общего и среднего общего образования в качестве основного вида деятельности</t>
  </si>
  <si>
    <t>Предоставление субсидий социально ориентированным некоммерческим организациям на реализацию программ (проектов) в сфере физической культуры и спорта и содействие указанной деятельности</t>
  </si>
  <si>
    <t>Предоставление субсидии социально ориентированным некоммерческим организациям на реализацию программ (проектов)  в сфере охраны здоровья</t>
  </si>
  <si>
    <t>Осуществление имущественной, информационной и консультационной поддержки социально ориентированным некоммерческим организациям</t>
  </si>
  <si>
    <t>Предоставление имущественной и консультационной поддержки социально ориентированным некоммерческим организациям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</si>
  <si>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социально ориентированных некоммерческих организаций</t>
  </si>
  <si>
    <t>Безопасность дорожного движения</t>
  </si>
  <si>
    <t>Установка дорожных знаков</t>
  </si>
  <si>
    <t>Обновление дорожной разметки</t>
  </si>
  <si>
    <t>Установка и обустройство светофорных объектов</t>
  </si>
  <si>
    <t>Обустройство искусственных дорожных неровностей</t>
  </si>
  <si>
    <t>Установка ограничивающих пешеходных ограждений перильного типа</t>
  </si>
  <si>
    <t>Разработка проекта организации дорожного движения в городском округе Реутов Московской области</t>
  </si>
  <si>
    <t>«Содержание дорог и объектов улично-дорожной сети»</t>
  </si>
  <si>
    <t>Повышение обустройства автомобильных дорог местного значения</t>
  </si>
  <si>
    <t>Содержание ливневой канализации</t>
  </si>
  <si>
    <t xml:space="preserve">Содержание светофорных объектов </t>
  </si>
  <si>
    <t>Содержание автомобильных дорог общего пользования местного значения с совершенствованным типом покрытия</t>
  </si>
  <si>
    <t>Выполнение работ по нанесению вертикальной разметки 2.7 на бортовые камни в городском округе Реутов</t>
  </si>
  <si>
    <t>Мероприятие 1.3.3.</t>
  </si>
  <si>
    <t>Выполнение работ по ямочному ремонту автомобильных дорог общего пользования местного значения</t>
  </si>
  <si>
    <t>Обеспечение деятельности муниципального учреждения "Эксплуатация дорог и паковочного пространства города Реутов"</t>
  </si>
  <si>
    <t>«Ремонт дорог и объектов улично-дорожной сети»</t>
  </si>
  <si>
    <t xml:space="preserve">Капитальный ремонт и (или) ремонт автомобильных дорог общего пользования местного значения </t>
  </si>
  <si>
    <t>Ремонт ливневой канализации</t>
  </si>
  <si>
    <t xml:space="preserve">Капитальный ремонт и ремонт автомобильных дорог общего пользования населенных пунктов местного значения, в том числе замена и установка остановочных павильонов  </t>
  </si>
  <si>
    <t xml:space="preserve">Выполнение работ по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в ходе выполнения подрядных работ ремонта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 </t>
  </si>
  <si>
    <t>Ремонт тротуаров</t>
  </si>
  <si>
    <t>Увеличение парковочного пространства</t>
  </si>
  <si>
    <t xml:space="preserve">Создание парковочного пространства 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</si>
  <si>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</si>
  <si>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Комплексное благоустройство парковочного пространства</t>
  </si>
  <si>
    <t xml:space="preserve">Обеспечение надлежащего состояния автомобильных дорог и дворовых территорий </t>
  </si>
  <si>
    <t xml:space="preserve">Ямочный ремонт дворовых территорий многоквартирных домов, проездов к дворовым территориям многоквартирных домов населенных пунктов </t>
  </si>
  <si>
    <t>Устройство проездов для автотранспорта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</si>
  <si>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</si>
  <si>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Строительство ливневой канализации</t>
  </si>
  <si>
    <t>Увеличение протяженности автомобильных дорог общего пользования местного значения</t>
  </si>
  <si>
    <t xml:space="preserve">Проектирование, строительство (реконструкция) автомобильных дорог общего пользования и объектов  дорожного хозяйства местного значения </t>
  </si>
  <si>
    <t>«Транспортное обслуживание населения»</t>
  </si>
  <si>
    <t>Обеспечение транспортного обслуживания населения</t>
  </si>
  <si>
    <t>Организация транспортного обслуживания населения автомобильным транспортом на муниципальных маршрутах</t>
  </si>
  <si>
    <t xml:space="preserve">Обеспечение жильем молодых семей
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</si>
  <si>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</si>
  <si>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 xml:space="preserve">Обеспечение жилыми помещениями молодых семей  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</si>
  <si>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</si>
  <si>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жилищ-ной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</si>
  <si>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</t>
  </si>
  <si>
    <t>Предоставление жилых помещений детям-сиротам, оставшимся без попечения родителей,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</si>
  <si>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</si>
  <si>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</si>
  <si>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Федерации",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 , в соответствии с Указом Президента Российской Федерации от 7 мая 2008 года N 714 "Об обеспечении жильем ветеранов Великой Отечественной войны 1941-1945 годов"</t>
  </si>
  <si>
    <t>Предоставление мер государственной поддержки на приобретение жилого помещения гражданам, уволенным с военной службы, и приравненным к ним лицам, в соответствии с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</t>
  </si>
  <si>
    <t xml:space="preserve">Комплексное освоение земельных участков в целях жилищного строительства и развитие
застроенных территорий
</t>
  </si>
  <si>
    <t>Мониторинг ввода жилья по стандартам экономического класса за счет всех источников финансирования</t>
  </si>
  <si>
    <t>Подготовка ежемесячного отчета по форме № 1-Эконом класс в Министерство строительного комплекса Московской области</t>
  </si>
  <si>
    <t>Создание условий для развития рынка доступного жилья, развития жилищного строительства</t>
  </si>
  <si>
    <t>Осуществление выдачи разрешений на ввод объектов в эксплуатацию (индивидуальное жилищное строительство)</t>
  </si>
  <si>
    <t>Осуществление выдачи разрешений на строительство (индивидуальное жилищное строительство)</t>
  </si>
  <si>
    <t>Обеспечение жилыми помещениями граждан, состоящих на учете в качестве нуждающихся в жилых помещениях, предоставляемых по договорам социального найма</t>
  </si>
  <si>
    <t>Ведение учета граждан, признанных нуждающимися в жилых помещениях, предоставляемых по договорам социального найма</t>
  </si>
  <si>
    <t>Предоставление жилых помещений гражданам, состоящим на учете в качестве нуждающихся в жилых помещениях, предоставляемых по договорам социального найма</t>
  </si>
  <si>
    <t>Переселение граждан из многоквартирных домов, признанных аварийными в установленном законодательством порядке</t>
  </si>
  <si>
    <t>Обеспечение мероприятий по переселению граждан из аварийного жилищного фонда в рамках реализации адресной программы Московской области по переселению граждан из аварийного жилищного фонда</t>
  </si>
  <si>
    <t>Обеспечение мероприятий по переселению граждан из аварийного жилищного фонда в рамках реализации инвестиционных контрактов</t>
  </si>
  <si>
    <t>Обеспечение мероприятий по переселению граждан из аварийного жилищного фонда в рамках реализации договоров развития застроенных территорий в отчётном периоде</t>
  </si>
  <si>
    <t>Обеспечение прав пострадавших граждан-соинвесторов</t>
  </si>
  <si>
    <t>Координация решения организационных вопросов по обеспечению прав пострадавших граждан-соинвесторов</t>
  </si>
  <si>
    <t>Обеспечение защиты прав граждан на жилище</t>
  </si>
  <si>
    <t xml:space="preserve">Развитие условий для рынка жилья </t>
  </si>
  <si>
    <t xml:space="preserve">Создание условий для развития рынка жилья </t>
  </si>
  <si>
    <t>Основное мероприятие 7.</t>
  </si>
  <si>
    <t>Защита прав граждан на жилище</t>
  </si>
  <si>
    <t>Мероприятие 7.1.</t>
  </si>
  <si>
    <t>Реализация мер защиты прав граждан на жилище</t>
  </si>
  <si>
    <t>«Развитие музейного дела и народных художественных промыслов в городском округе Реутов»</t>
  </si>
  <si>
    <t>Обеспечение выполнения функций муниципальных музеев</t>
  </si>
  <si>
    <t>Оказание муниципальных услуг (выполнение работ) муниципальными музеями городского округа Реутов</t>
  </si>
  <si>
    <t>Приобритение культурных ценностей, реставрация музейных предметов</t>
  </si>
  <si>
    <t>Приобретение фондового и реставрационного оборудования, создание музейных экспозиций муниципальными музеями городского округа Реутов</t>
  </si>
  <si>
    <t>«Развитие библиотечного дела в городском округе Реутов»</t>
  </si>
  <si>
    <t>Организация библиотечного обслуживания населения муниципальными библиотеками в городском округе  Реутов</t>
  </si>
  <si>
    <t>Оказание муниципальных услуг (выполнение работ) муниципальными библиотеками городского округа  Реутов</t>
  </si>
  <si>
    <t>Комплектование книжных фондов муниципальных библиотек городского округа Реутов</t>
  </si>
  <si>
    <t>Предоставление доступа  к сети передачи данных муниципальных библиотек городского округа Реутов</t>
  </si>
  <si>
    <t>«Развитие самодеятельного творчества и поддержка основных форм культурно – досуговой деятельности в городском округе Реутов»</t>
  </si>
  <si>
    <t xml:space="preserve">Оказание муниципальных услуг  по обеспечению творческой самореализации граждан,  проведению культурно-массовых мероприятий,  содержание имущества учреждений клубного типа 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</si>
  <si>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</si>
  <si>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Проведение праздничных и культурно-массовых мероприятий в сфере культуры</t>
  </si>
  <si>
    <t>Муниципальная стипендия  для выдающихся деятелей культуры и искусства и молодых талантливых авторов</t>
  </si>
  <si>
    <t>Проведение специальной оценки условий труда</t>
  </si>
  <si>
    <t>Проведение периодического технического освидетельствования лифтового оборудования</t>
  </si>
  <si>
    <t>«Развитие парков культуры и отдыха городского округа Реутов»</t>
  </si>
  <si>
    <t>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</t>
  </si>
  <si>
    <t>Мероприятия по комплексному благоустройству парковых территорий</t>
  </si>
  <si>
    <t>Мероприятия по созданию нового парка "Фабричный пруд"</t>
  </si>
  <si>
    <t>Благоустройство парка культуры и отдыха - Центральный парк (МУ "МКДЦ" Адрес: г. Реутов, ул. Победы, д.6)</t>
  </si>
  <si>
    <t>«Укрепление материально – технической базы муниципальных учреждений культуры городского округа Реутов»</t>
  </si>
  <si>
    <t>Капитальные вложения в объекты культуры, находящиеся в собственности  (строительство, реконструкция, приобретение зданий)</t>
  </si>
  <si>
    <t>Строительство муниципальных культурно-досуговых объектов. Строительство дома культуры в городском округе Реутов (в том числе ПИР)</t>
  </si>
  <si>
    <t>Выполнение работ по инженерно-геодезическим изысканиям (топографическая съемка для подготовки Градостроительного плана земельного участка) по строительству Дома культуры в городском округе Реутов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</si>
  <si>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</si>
  <si>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>Осуществление технологического присоединения к электрическим сетям объекта "Дом культуры в городском округе Реутов"</t>
  </si>
  <si>
    <t xml:space="preserve">Модернизация материально-технической базы объектов культуры  путем проведения капитального ремонта и технического переоснащения </t>
  </si>
  <si>
    <t>Укрепление материально - технической базы муниципальных учреждений культуры, подведомственных Отделу культуры  Администрации города Реутов</t>
  </si>
  <si>
    <t>«Развитие туризма в городском округе Реутов»</t>
  </si>
  <si>
    <t>Развитие рынка туристских услуг, развитие внутреннего и въездного туризма на территории городского округа  Реутов</t>
  </si>
  <si>
    <t>Развитие туристской инфраструктуры</t>
  </si>
  <si>
    <t>Создание туристско-информационных центров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</si>
  <si>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</si>
  <si>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>Обеспечение деятельности подведомственного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</si>
  <si>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>Подпрограмма 8</t>
  </si>
  <si>
    <t>«Обеспечивающая подпрограмма»</t>
  </si>
  <si>
    <t>Создание условий для реализации полномочий Отдела культуры Администрации города Реутов</t>
  </si>
  <si>
    <t>Обеспечение деятельности Отдела культуры Администрации города Реутов, включая оплату труда муниципальным служащим и начисления на выплаты по оплате труда и уплату налога на имущество</t>
  </si>
  <si>
    <t>Проведение анализа перечня услуг (работ) подведомственных государственных учреждений в целях его уточнения и отказа от невостребованных услуг (работ)</t>
  </si>
  <si>
    <t>Организация деятельности органов местного самоуправления по проведению анализа перечня услуг (работ), оказываемых муниципальными учреждениями в целях его уточнения и отказа от невостребованных услуг (работ) и разработке механизма финансирования муниципальных учреждений с учетом оптимизации их деятельности и перехода на нормативно-подушевое финансирование</t>
  </si>
  <si>
    <t>Повышение заработной платы работникам муниципальных учреждений культуры</t>
  </si>
  <si>
    <t>Мероприятия на финансирование расходов на повышение заработной платы работникам муниципальных учреждений культуры</t>
  </si>
  <si>
    <t>Софинансирование проектов инициативного бюджетирования</t>
  </si>
  <si>
    <t>Подпрограмма 9</t>
  </si>
  <si>
    <t>"Развитие архивного дела в городском округе Реутов"</t>
  </si>
  <si>
    <t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</t>
  </si>
  <si>
    <t>Содержание и оборудование средствами хранения, учета и использования архивных документов</t>
  </si>
  <si>
    <t>«Экология и охрана окружающей среды» городского округа Реутов Московской области на 2017-2021г.г.»</t>
  </si>
  <si>
    <t>Организация лабораторного контроля за выбросами в атмосферный воздух загрязняющих веществ</t>
  </si>
  <si>
    <t>Организация лабораторного контроля за состоянием открытых вод,почвы</t>
  </si>
  <si>
    <t>Получение отчета о состоянии окружающей среды и природных ресурсов</t>
  </si>
  <si>
    <t>Проведение семинаров для учителей школ города,врачей,работников дошкольных учреждений,руководителей пром.предприятий</t>
  </si>
  <si>
    <t>Проведение смотров,конкурсов,викторин по теме охраны окружающей среды в школах города и детских дошкольных учреждениях</t>
  </si>
  <si>
    <t>Проведение городских экологических акций и мероприятий на территории города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</si>
  <si>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</si>
  <si>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</si>
  <si>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регулирование численности безнадзорных животных</t>
  </si>
  <si>
    <t>Организация проведения мероприятий по отлову и содержанию безнадзорных животных</t>
  </si>
  <si>
    <t>Обеспечение деятельности МБУ "Городское хозяйство и благоустройство города Реутов" Мероприятия по озеленению территории городского округа Реутов</t>
  </si>
  <si>
    <t>Мероприятия по снижению объема загрязняющих веществ, модернизация и реконструкция очистных сооружений</t>
  </si>
  <si>
    <t>Комфортная городская среда</t>
  </si>
  <si>
    <t>Благоустройство общественных территорий городского округа Реутов</t>
  </si>
  <si>
    <t>Благоустройство общественных территорий</t>
  </si>
  <si>
    <t>Разработка проекта благоустройства сквера за ДК "МИР"</t>
  </si>
  <si>
    <t>Разработка концепции и проекта благоустройства Носовихинского шоссе</t>
  </si>
  <si>
    <t>Разработка проектов по комплексному благоустройству улиц Парковая, Ашхабадская и Железнодорожная</t>
  </si>
  <si>
    <t>Мероприятие 1.1.4.</t>
  </si>
  <si>
    <t>Разработка проекта по строительству и комплексному благоустройству набережной в парке «Фабричный пруд»</t>
  </si>
  <si>
    <t>Мероприятие 1.1.5.</t>
  </si>
  <si>
    <t>Разработка проекта по расширению и благоустройству «Центрального парка»</t>
  </si>
  <si>
    <t>Устройство контейнерных площадок для раздельного сбора ТБО</t>
  </si>
  <si>
    <t>Установка указателей на многоквартирных домах с наименованиями улиц и номерами домов, вывесок</t>
  </si>
  <si>
    <t>Ликвидация несанкционированных свалок и навалов мусора на территории города Реутов</t>
  </si>
  <si>
    <t>Устройство и капитальный ремонт архитектурно-художественной подстветки</t>
  </si>
  <si>
    <t>Комплексное благоустройство парковых территорий</t>
  </si>
  <si>
    <t>Комплексное благоустройство парковых территорий (1)</t>
  </si>
  <si>
    <t>Комплексное благоустройство парковых территорий (2)</t>
  </si>
  <si>
    <t>Геодезические изыскания и проектирование капитального ремонта с расширением ул. Гагарина</t>
  </si>
  <si>
    <t>Благоустройство мини-сквера "Во дворе" на Юбилейном проспекте</t>
  </si>
  <si>
    <t>Комплексное благоустройство дворовых территорий</t>
  </si>
  <si>
    <t>Устройство (модернизация) обязательных элементов детских игровых и спортивных площадок</t>
  </si>
  <si>
    <t>Устройство освещения детских игровых площадок</t>
  </si>
  <si>
    <t>Установка информационных стендов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</si>
  <si>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</si>
  <si>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Федеральный проект «Формирование комфортной городской среды»</t>
  </si>
  <si>
    <t>Создание новых и/или благоустройство существующих парков культуры и отдыха</t>
  </si>
  <si>
    <t>Асфальтирование дворовых территорий</t>
  </si>
  <si>
    <t>Благоустройство территории городского округа Реутов</t>
  </si>
  <si>
    <t>Создание условий для благоустройства территорий городского округа Реутов</t>
  </si>
  <si>
    <t>Приобретение техники для нужд благоустройства и коммунального хозяйства</t>
  </si>
  <si>
    <t>Содержание детских, спортивных площадок, площадок для выгула собак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</si>
  <si>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</si>
  <si>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</si>
  <si>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>Приобретение техники для нужд благоустройства территории</t>
  </si>
  <si>
    <t>Обеспечение деятельности муниципального бюджетного учреждения "Городское хозяйство и благоустройство города Реутов"</t>
  </si>
  <si>
    <t>Уборка территории и аналогичная деятельность</t>
  </si>
  <si>
    <t>Организация систем уличного освещения</t>
  </si>
  <si>
    <t>Ремонт помещения МБУ "Городское хозяйство и благоустройство" по ул. Некрасова, д. 16</t>
  </si>
  <si>
    <t>Выполнение работ по ремонту твердого покрытия (брусчатки) у здания Администрации города Реутов</t>
  </si>
  <si>
    <t>Мероприятие 1.6.5.</t>
  </si>
  <si>
    <t>Иные цели</t>
  </si>
  <si>
    <t>Устройство универсального резинового основания на волейбольной площадке по адресу: Московская область, г. Реутов, ул. Комсомольская, д.18/2</t>
  </si>
  <si>
    <t>Комплексное благоустройство территорий муниципальных образований Московской области</t>
  </si>
  <si>
    <t>Приобретение брендированной техники для раздельного сбора ТБО</t>
  </si>
  <si>
    <t>Формирование комфортной городской световой среды</t>
  </si>
  <si>
    <t>Расходы на оплату электроэнергии систем уличного освещения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</si>
  <si>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</t>
  </si>
  <si>
    <t>Разработка проектно-сметной документации для проведения работ по устройству освещения по адресу: г. Реутов, проспект Мира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</si>
  <si>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</si>
  <si>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Федеральный проект "Формирование комфортной городской среды"</t>
  </si>
  <si>
    <t>Приобретение техники для нужд благоустройства территории муниципальных образований Московской области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</si>
  <si>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 в городском округе Реутов</t>
  </si>
  <si>
    <t>Разработка проекта капитального ремонта систем наружного и архитектурно-художественного освещения в рамках реализации приоритетного проекта "Светлый город"</t>
  </si>
  <si>
    <t>Обустройство и установка детских игровых площадок на территории муниципальных образований Московской области</t>
  </si>
  <si>
    <t>Обустройство и установка детских игровых площадок на территории парков культуры и отдыха Московской области</t>
  </si>
  <si>
    <t>Создание условий для обеспечения комфортного проживания жителей в многоквартирных домах на территории городского округа Реутов</t>
  </si>
  <si>
    <t>Создание благоприятных условий для проживания граждан в многоквартирных домах, расположенных на территории городского округа Реутов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</si>
  <si>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</si>
  <si>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Замена газоиспользующего оборудования в муниципальных квартирах</t>
  </si>
  <si>
    <t>Ремонт подъездов в многоквартирных домах на территории городского округа Реутов</t>
  </si>
  <si>
    <t>Произвести ремонт общедомового имущества в соответствии с краткосрочным планом, утвержденным на очередной год</t>
  </si>
  <si>
    <t>Установка камер видеонаблюдения в подъездах многоквартирных домов на территории муниципального образования</t>
  </si>
  <si>
    <t>Создание условий для обеспечения качественными жилищно-коммунальными услугами</t>
  </si>
  <si>
    <t>Обеспечение учета всего объема потребляемых энергетических ресурсов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</si>
  <si>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</si>
  <si>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</si>
  <si>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(электроэнергия)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</si>
  <si>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</si>
  <si>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</t>
  </si>
  <si>
    <t>Подготовка объектов ЖКХ к осенне-зимнему периоду</t>
  </si>
  <si>
    <t>Энергосбережение и повышение энергетической эффективности</t>
  </si>
  <si>
    <t>Расширение практики применения энергосберегающих технологий при модернизации, реконструкции и капитальном ремонте основных фондов</t>
  </si>
  <si>
    <t>Модернизация систем уличного освещения</t>
  </si>
  <si>
    <t>Информационные мероприятия по положениям Федерального законодательства в области энергосбережения</t>
  </si>
  <si>
    <t>Обеспечение своевременного погашения задолженности за потребленные топливно-энергетические ресурсы (газ, электроэнергия)</t>
  </si>
  <si>
    <t>Обеспечивающая подпрограмма</t>
  </si>
  <si>
    <t>Создание условий для реализации полномочий органов государственной власти Московской области и государственных органов Московской области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</si>
  <si>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</si>
  <si>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«Дошкольное образование»</t>
  </si>
  <si>
    <t>Основное мероприятие 1: Создание и развитие объектов дошкольного образования (включая капитальный ремонт, реконструкцию со строительством пристроек)</t>
  </si>
  <si>
    <t>Строительство детского сада на 250 мест с бассейном в микрорайоне 10А</t>
  </si>
  <si>
    <t>Строительство детского сада на 210 мест с бассейном в микрорайоне 6А</t>
  </si>
  <si>
    <t>Строительство детского сада на 210 мест с бассейном по улице Гагарина, д.20</t>
  </si>
  <si>
    <t>Строительство детского сада на 140 мест с бассейном по улице Новогиреевская, мкр.3</t>
  </si>
  <si>
    <t>Проведение технического обследования зданий дошкольных образовательных учреждений</t>
  </si>
  <si>
    <t>Погашение кредиторской задолженности по мероприятию 2016 года "Строительство детского сада  на 210 мест с бассейном по адресу: Московская область, г.Реутов,ул.Гагарина,д.20</t>
  </si>
  <si>
    <t>Выполнение работ по проектированию пристройки к МАДОУ №4 "Ивушка"</t>
  </si>
  <si>
    <t xml:space="preserve">Проведение государственной экспертизы проектной документации по объекту капитального строительства "Детский сад на 210 мест с бассейном по адресу: М.О. г.Реутов, ул.Гагарина, д.20 (корректировка) </t>
  </si>
  <si>
    <t>Изготовление технического паспорта на объект капитального строительства "Детский сад на 210 мест с бассейном по адресу: М.О. г.Реутов, ул.Гагарина д.20</t>
  </si>
  <si>
    <t>Бюджетные инвестиции в объекты капитального строительства "Детский сад на 210 мест с бассейном по адресу: М.О. г.Реутов, ул.Гагарина д.20"</t>
  </si>
  <si>
    <t>Техническая инвентаризация объекта капитального строительства "Детский сад на 210 мест с бассейном по адресу: М.О. г.Реутов, ул.Гагарина д.20"</t>
  </si>
  <si>
    <t>Изготовление технического плана на объект капитального строительства "Детский сад на 210 мест с бассейном по адресу: М.О. г.Реутов, ул.Гагарина д.20"</t>
  </si>
  <si>
    <t>Осуществление технологического присоединения к электрическим сетям объекта капитального строительства "Детский сад на 210 мест с бассейном по адресу: М.О. г.Реутов, ул Гагарина д.20"</t>
  </si>
  <si>
    <t>Координирование объекта недвижимости "Детский сад на 210 мест с бассейном по адресу: МО г.Реутов, ул.Гагарина, д.20</t>
  </si>
  <si>
    <t>Выполнение проектно-изыскательных работ по строительству детского сада на 140 мест по адресу: Московская область, г.Реутов, ул.Котовского (территория д.10 и д.10а)</t>
  </si>
  <si>
    <t>Выполнение работ по инженерно-геодезическим изысканиям (топографическая съемка) по строительству детского сада на 140 мест по адресу: Московская обл., г. Реутов, ул.Котовского</t>
  </si>
  <si>
    <t>Основное мероприятие 2: Создание мест за счет альтернативных мероприятий</t>
  </si>
  <si>
    <t>Субвенция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</si>
  <si>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Субсидия бюджетам муниципальных образований Московской области на государственную поддержку частных дошкольных образовательных организацийв Московской области с целью возмещения расходов на присмотр и уход, содержание имущества и арендную плату за использование помещений 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</si>
  <si>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</si>
  <si>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Основное мероприятие 3: Финансовое обеспечение реализации прав граждан на получение общедоступного и бесплатного дошкольного образования</t>
  </si>
  <si>
    <t xml:space="preserve">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деятельность.
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</si>
  <si>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</si>
  <si>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Оплата банковских и почтовых услуг по перечислению компенсации родительской платы за присмотр и уход за детьми, освающими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</si>
  <si>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Основное мероприятие 4: Увеличение численности воспитанников дошкольных образовательных организаций по программам соответствующим требованиям федерального государственного образовательного стандарта дошкольного образования</t>
  </si>
  <si>
    <t>Субвенция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</si>
  <si>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Оплата труда педагогических работников, учебно-вспомогательного персонала, прочего персонала</t>
  </si>
  <si>
    <t>Приобретение учебников и учебных пособий, средств обучения, игр, игрушек</t>
  </si>
  <si>
    <t>Расходы на муниципальное задание (по содержанию зданий, коммунальные услуги, прочие расходы, работы и услуги)</t>
  </si>
  <si>
    <t>Мероприятие 4.2.1.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</si>
  <si>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</si>
  <si>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>Мероприятие 4.2.2.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</si>
  <si>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</si>
  <si>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</si>
  <si>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</si>
  <si>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Организация капитального, текущего ремонта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</si>
  <si>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</si>
  <si>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Закупка основных средств, оборудования, расходных материалов и материальных запасов на увеличение мест в дошкольных образовательных учреждениях</t>
  </si>
  <si>
    <t>Проведение капитального, текущего ремонта в муниципальных организациях дошкольного образования</t>
  </si>
  <si>
    <t>Мероприятие 4.9.</t>
  </si>
  <si>
    <t>Ремонт помещений для групп кратковременного пребывания МАДОУ №19 "Сказка"</t>
  </si>
  <si>
    <t>Мероприятие 4.10.</t>
  </si>
  <si>
    <t>Обслуживание зданий, сооружений и прилегающей территории дошкольных образовательных организации</t>
  </si>
  <si>
    <t>Мероприятие 4.11.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</si>
  <si>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</si>
  <si>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Мероприятие 4.12.</t>
  </si>
  <si>
    <t>Материально-техническое обеспечение дошкольных образовательных организации в связи с увеличением контингента с 01.09.2018г.</t>
  </si>
  <si>
    <t>Мероприятие 4.13.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</si>
  <si>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</si>
  <si>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4.14.</t>
  </si>
  <si>
    <t>Проведение аккарицидной обработки обработки территории дошкольных образовательных учреждений</t>
  </si>
  <si>
    <t>Мероприятие 4.15.</t>
  </si>
  <si>
    <t>" Охрана труда Медосмотр сотрудников дошкольных образовательных учреждений,специальная оценка условий труда, обучение техники безопасности"</t>
  </si>
  <si>
    <t>Мероприятие 4.16.</t>
  </si>
  <si>
    <t>Повышение квалификации руководящих кадров</t>
  </si>
  <si>
    <t>Мероприятие 4.17.</t>
  </si>
  <si>
    <t>Аттестация рабочего места</t>
  </si>
  <si>
    <t>Мероприятие 4.18.</t>
  </si>
  <si>
    <t>Мероприятие 4.19.</t>
  </si>
  <si>
    <t>Укрепление материально-технической базы учреждений дошкольного образования</t>
  </si>
  <si>
    <t>«Общее образование»</t>
  </si>
  <si>
    <t xml:space="preserve">Основное мероприятие 1: Введение федеральных государственных образовательных стандартов начального, основного и среднего общего образования, в том числе мероприятия по нормативному, правовому и методическому сопровождению, обновлению содержания и технологий образования. </t>
  </si>
  <si>
    <t>Субвенции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</si>
  <si>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Расходы на оплату труда педагогических работников, административно-хозяйственных, учебно-вспомогательных и иных работников</t>
  </si>
  <si>
    <t>Мероприятие 2.1.3.</t>
  </si>
  <si>
    <t xml:space="preserve">Оплата вознаграждения за выполнение функций классного руководителя </t>
  </si>
  <si>
    <t>Мероприятие 2.1.4.</t>
  </si>
  <si>
    <t>Оплата услуг по неограниченному широкополосному круглосуточному доступу к информационно-телекоммуникационной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</si>
  <si>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Предоставление субсидий для бюджетных общеобразовательных организаций на выполнение муниципального задания</t>
  </si>
  <si>
    <t>Предоставление субсидий для автономных общеобразовательных организаций на выполнение муниципального задания</t>
  </si>
  <si>
    <t xml:space="preserve">Предоставление субсидий для начальной школы-детского сада "Лучик" для обучающихся с ограниченными возможностями здоровья на выполнение муниципального задания
</t>
  </si>
  <si>
    <t>Приобретение парадной формы и развитие материально-технической базы для учащихся  кадетского класса</t>
  </si>
  <si>
    <t>Услуги по изготовлению и установке флагштоков в общеобразовательных организациях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</si>
  <si>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</si>
  <si>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>Мероприятия для реализации проекта "Проектирование сети общеобразовательных учреждений г. Реутов"</t>
  </si>
  <si>
    <t>Участие в Всероссийском детско-юношеском военно-патриотическом общественном движении "Юнармия"</t>
  </si>
  <si>
    <t>Укрепление материально-технической базы общеобразовательных учреждений</t>
  </si>
  <si>
    <t>Участие во Всероссийских слетах кадетских классов</t>
  </si>
  <si>
    <t>Медицинское сопровождение мероприятий в муниципальных общеобразовательных организаций с массовым пребыванием людей.</t>
  </si>
  <si>
    <t>Субвенция бюджетам муниципальных образований Московской области на финансовое обеспечение получения гражданами дошкольного,начального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</si>
  <si>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Выплата компенсации работникам муниципальных образовательных учреждений, привлекаемых к проведению ГИА</t>
  </si>
  <si>
    <t>Основное мероприятие 3: обеспечение развития инновационной инфраструктуры общего образования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</si>
  <si>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</si>
  <si>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</si>
  <si>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</si>
  <si>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</si>
  <si>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</si>
  <si>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</si>
  <si>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</si>
  <si>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</si>
  <si>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</si>
  <si>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</si>
  <si>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>Софинансирование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</si>
  <si>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 xml:space="preserve">Проведение городской научно-практической конференции </t>
  </si>
  <si>
    <t>Приобретение не исключительных (пользовательских), лицензионных прав на программное обеспечение</t>
  </si>
  <si>
    <t>Основное мероприятие 4: Обеспечение мер социальной поддержки обучающихся в образовательных организациях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</si>
  <si>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программам.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</si>
  <si>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</si>
  <si>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</si>
  <si>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Поддержка «Талантливой молодежи»( и участники приоритетного национального проекта "Образование") победители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</si>
  <si>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</si>
  <si>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Субвенции бюджетам муниципальных районов и городских округов Московской области на обеспечение переданных государственных полномочий в сфере образования и организации деятельности комиссии по делам несовершеннолетних и защите их прав городов и районов.</t>
  </si>
  <si>
    <t>Основное мероприятие 5: Оказание мер социальной поддержки детям - сиротам и детям, оставшимся без попечения родителей.</t>
  </si>
  <si>
    <t>Основное мероприятие 6: Обновление состава и компетенции педагогических работников, создание механизмов мотивации педагогов к повышению качества работы и непрерывному профессиональному развитию.</t>
  </si>
  <si>
    <t>Праздник  «Международный день учителя»</t>
  </si>
  <si>
    <t>Праздник «День знаний»</t>
  </si>
  <si>
    <t>Выпускной бал</t>
  </si>
  <si>
    <t>Участие в конкурсе   «Педагог года » и ПНПО (Приоритетный национальный проект «образование») </t>
  </si>
  <si>
    <t>Открытие новых общеобразовательных учреждений</t>
  </si>
  <si>
    <t>Медосмотр сотрудников общеобразовательных учреждений, специальная оценка условий труда, обучение техники безопасности</t>
  </si>
  <si>
    <t>Мероприятие 6.7.</t>
  </si>
  <si>
    <t xml:space="preserve">Повышение квалификации </t>
  </si>
  <si>
    <t>Мероприятие 6.8.</t>
  </si>
  <si>
    <t>Проведение культурно-массовых мероприятий для учащихся общеобразовательных организации</t>
  </si>
  <si>
    <t>Основное мероприятие 1. Проведение капитального, текущего ремонта, ремонта образовательных организаций.</t>
  </si>
  <si>
    <t>Проведение капитального, текущего ремонта в муниципальных общеобразовательных организациях</t>
  </si>
  <si>
    <t>Мероприятие 7.2.</t>
  </si>
  <si>
    <t>Ремонтные работы школьного стадиона с заменой спортивного оборудования, устройство ограждений школьной территории, ремонт наружного освещения, ремонт и устройство асфальтового покрытия территории  МБОУ "СОШ №7"</t>
  </si>
  <si>
    <t>Мероприятие 7.3.</t>
  </si>
  <si>
    <t>Приобретение новогодних украшений для общеобразовательных организации</t>
  </si>
  <si>
    <t>Мероприятие 7.4.</t>
  </si>
  <si>
    <t>Ремонт школьного стадиона, наружного освещения, устройство асфальтового покрытия территории, укрепление материально-технической базы МАОУ "Лицей"</t>
  </si>
  <si>
    <t>Мероприятие 7.5.</t>
  </si>
  <si>
    <t>Выполнение ремонтных работ на школьном стадионе с заменой спортивного оборудования МБОУ СОШ 3</t>
  </si>
  <si>
    <t>Мероприятие 7.6.</t>
  </si>
  <si>
    <t>Ремонт зала хореографии и актового зала МБОУ СОШ №1</t>
  </si>
  <si>
    <t>Основное мероприятие 8.</t>
  </si>
  <si>
    <t>Основное мероприятие 2: создание и развитие в общеобразовательных организациях условий для ликвидации второй смены</t>
  </si>
  <si>
    <t>Мероприятие 8.1.</t>
  </si>
  <si>
    <t>Выполнение проектно-изыскательных работ по строительству пристройки  на 250 мест к зданию "Лицея", по адресу г.Реутов, ул.Южная д.8</t>
  </si>
  <si>
    <t>«Дополнительное образование, воспитание и психолого-социальное сопровождение детей»</t>
  </si>
  <si>
    <t>Основное мероприятие 1: Реализация комплекса мер, обеспечивающих развитие системы дополнительного образования детей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</si>
  <si>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</si>
  <si>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«Детско-юношеская спортивная школа», Дом детского творчества</t>
  </si>
  <si>
    <t>Приалит</t>
  </si>
  <si>
    <t>«Хоровая студия «Радуга»</t>
  </si>
  <si>
    <t>Основное мероприятие 2: Реализация комплекса мер, обеспечивающих развитие системы дополнительного образования детей, в том числе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обучающихся.</t>
  </si>
  <si>
    <t>Предоставление субсидии муниципальным учреждениям дополнительного образования на оплату труда и начисления, в том числе:</t>
  </si>
  <si>
    <t>"Приалит"</t>
  </si>
  <si>
    <t>Мероприятия, направленные на повышение заработной платы педагогическим работникам муниципальных учреждений дополнительного образования в сферах образования, культуры, физической культуры и спорта на 2017 год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</si>
  <si>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мероприятий, международных конкурсов в сфере образования</t>
  </si>
  <si>
    <t>Предоставление медицинского сопровождения (скорой помощи) на соревнования</t>
  </si>
  <si>
    <t>Приобретение спортивной формы и развитие материально-технической базы для учащихся в ДЮСШ "Приалит"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</si>
  <si>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</si>
  <si>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</si>
  <si>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</si>
  <si>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Создание и укрепление материально-технической базы для учащихся, организация и проведение форумов МБУ ДО "ДДТ"</t>
  </si>
  <si>
    <t>Приобретение музыкальных инструментов для муниципальных организации дополнительного образования Московской области, осуществляющих деятельность в сфере культуры</t>
  </si>
  <si>
    <t>Приобретение оборудования, музыкальных инструментов, материальных запасов для муниципальных учреждений дополнительного образования</t>
  </si>
  <si>
    <t>Основное мероприятие 3: Развитие кадрового потенциала образовательных организаций системы дополнительного образования, воспитания, психолого-педагогического сопровождения детей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</si>
  <si>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</si>
  <si>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>Повышение квалификации</t>
  </si>
  <si>
    <t>Основное мероприятие 4: Строительство и реконструкция учреждений дополнительного образования.</t>
  </si>
  <si>
    <t>Ремонт двух спортивных залов в МБОУ дополнительного образования  детей " Детско-юношеская спортивная школа"</t>
  </si>
  <si>
    <t>Проектно-изыскательские и строительно-монтажные работы по реконструкции с пристройкой Школы искусств по улице Южной, д.17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</si>
  <si>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</si>
  <si>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Техническая инвентаризация объекта недвижимости</t>
  </si>
  <si>
    <t>Основное мероприятие 5: капитальный ремонт учреждений дополнительного образования</t>
  </si>
  <si>
    <t>Выполнение проектных работ для проведения капитального ремонта МБУ ДО "ДДТ" по адресу: г.Реутов Московской области, ул.Строителей, д.11</t>
  </si>
  <si>
    <t>Основное мероприятие 6: Реализация мер, направленных на воспитание детей, развитие школьного спорта и формирование здорового образа жизни.</t>
  </si>
  <si>
    <t>Основное мероприятие 7: Реализация мероприятий направленных на профилактику правонарушений и формирование навыков законопослушного гражданина.</t>
  </si>
  <si>
    <t>Основное мероприятие 8: Реализация мероприятий., направленных на пропаганду правил безопасного поведения на дорогах и улицах.</t>
  </si>
  <si>
    <t>Основное мероприятие 9.</t>
  </si>
  <si>
    <t>Основное мероприятие 9: Реализация мер,направленных на формирование у обучающихся коммуникативной компетенции</t>
  </si>
  <si>
    <t>Основное мероприятие 10.</t>
  </si>
  <si>
    <t>Основное мероприятие 10: Реализация комплекса мер по обеспечению равных прав детей на организованный досуг. Отдых и оздоровление.</t>
  </si>
  <si>
    <t>Расходы на ведение бухгалтерского учета в соответствии с действующими правовыми актами, составление бухгалтерской, налоговой и статистической отчетности</t>
  </si>
  <si>
    <t>Расходы на оплату труда</t>
  </si>
  <si>
    <t>Иные закупки товаров, услуг и прочих расходов</t>
  </si>
  <si>
    <t>Расходы на предоставление услуг хозяйственно-эксплуатационной конторой</t>
  </si>
  <si>
    <t>Расходы на выплату персоналу в целях обеспечения выполнения функций муниципальными органами</t>
  </si>
  <si>
    <t>Предоставление субсидий на оплату труда и начисления</t>
  </si>
  <si>
    <t>Закупка товаров, работ, услуг</t>
  </si>
  <si>
    <t>«Развитие информационной и технической инфраструктуры экосистемы цифровой экономики муниципального образования городской округ Реутов» на срок 2018-2022 годы</t>
  </si>
  <si>
    <t>Федеральный проект "Информационная инфраструктура"</t>
  </si>
  <si>
    <t xml:space="preserve">Обеспечение доступности для населения муниципального образования Московской области современных услуг широкополосного доступа в сеть интернет 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</si>
  <si>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 на скорости: для дошкольных образовательных организаций – не менее  2 Мбит/с; для общеобразовательных организаций, расположенных в городских поселениях и городских округах, - не менее 100 Мбит/с; для общеобразовательных организаций, расположенных в сельских населенных пунктах, – не менее 50 Мбит/с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</si>
  <si>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электросвязи.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</si>
  <si>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ней.</t>
  </si>
  <si>
    <t>Обеспечение оборудованием и поддержание его работоспособности.</t>
  </si>
  <si>
    <t>Создание условий для размещения радиоэлектронных средств на земельных участках, зданиях и сооружениях в границах муниципального образования.</t>
  </si>
  <si>
    <t>Федеральный проект "Информационная безопасность"</t>
  </si>
  <si>
    <t>Приобретение, установка, настройка, монтаж 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</si>
  <si>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 xml:space="preserve">Федеральный проект «Цифровое государственное управление»  </t>
  </si>
  <si>
    <t>Обеспечение программными продуктами.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</si>
  <si>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</si>
  <si>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</si>
  <si>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</si>
  <si>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«Цифровая образовательная среда».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</si>
  <si>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</si>
  <si>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</si>
  <si>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 xml:space="preserve">Оснащение планшетными компьютерами общеобразовательных организаций в муниципальном образовании Московской области </t>
  </si>
  <si>
    <t xml:space="preserve"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 </t>
  </si>
  <si>
    <t>Федеральный проект «Цифровая культура»</t>
  </si>
  <si>
    <t>Обеспечение муниципальных учреждений культуры доступом в информационно-телекоммуникационную сеть Интернет</t>
  </si>
  <si>
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</si>
  <si>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</si>
  <si>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</si>
  <si>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</si>
  <si>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2. Организация деятельности МФЦ</t>
  </si>
  <si>
    <t>Мероприятие 1.2.1.</t>
  </si>
  <si>
    <t>Оплата труда и начисления на выплаты по оплате труда</t>
  </si>
  <si>
    <t>Мероприятие 1.2.2.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</si>
  <si>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</si>
  <si>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Мероприятие 1.2.3.</t>
  </si>
  <si>
    <t>Материально-техническое обеспечение МФЦ</t>
  </si>
  <si>
    <t>Мероприятие 1.2.3.1.</t>
  </si>
  <si>
    <t>Закупка товаров, работ, услуг для обеспечения нужд МФЦ</t>
  </si>
  <si>
    <t>Мероприятие 1.2.4.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</si>
  <si>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</si>
  <si>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</si>
  <si>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</si>
  <si>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</si>
  <si>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</si>
  <si>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</si>
  <si>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 xml:space="preserve"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  </t>
  </si>
  <si>
    <t>Информирование населения 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и в электронных  СМИ, распространяемых в сети Интернет (сетевых изданиях).  Ведение информационных ресурсов и баз данных муниципального образования Московской области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</si>
  <si>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</si>
  <si>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Организация мониторинга печатных и электронных СМИ, блогосферы, проведение медиа-исследований аудитории СМИ на территории  муниципального образования Московской области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</si>
  <si>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</si>
  <si>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Информирование населения муниципального образования посредством наружной рекламы</t>
  </si>
  <si>
    <t>Приведение в соответствие количества и фактического расположения рекламных конструкций на территории  муниципального образования Московской области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</si>
  <si>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</si>
  <si>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</si>
  <si>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 xml:space="preserve">Выполнение 33,9 процентов
</t>
  </si>
  <si>
    <t xml:space="preserve">Выполнение 0,6 процентов
</t>
  </si>
  <si>
    <t xml:space="preserve">Выполнение 44,5 процентов
</t>
  </si>
  <si>
    <t xml:space="preserve">Выполнение 51,7 процентов
</t>
  </si>
  <si>
    <t xml:space="preserve">Выполнение 48,8 процентов
</t>
  </si>
  <si>
    <t xml:space="preserve">Выполнение 27,7 процентов
</t>
  </si>
  <si>
    <t xml:space="preserve">Выполнение 63,4 процента
</t>
  </si>
  <si>
    <t xml:space="preserve">Выполнение 80,5 процентов
</t>
  </si>
  <si>
    <t xml:space="preserve">Выполнение 49,7 процентов
</t>
  </si>
  <si>
    <t xml:space="preserve">Выполнение 65,8 процентов
</t>
  </si>
  <si>
    <t xml:space="preserve">Выполнение 38 процентов
</t>
  </si>
  <si>
    <t xml:space="preserve">Выполнение 40,9 процентов
</t>
  </si>
  <si>
    <t xml:space="preserve">Выполнение 48,5 процентов
</t>
  </si>
  <si>
    <t xml:space="preserve">Выполнение 26,2 процента
</t>
  </si>
  <si>
    <t xml:space="preserve">Выполнение 31,4 процента
</t>
  </si>
  <si>
    <t xml:space="preserve">Выполнение 28 процентов
</t>
  </si>
  <si>
    <t xml:space="preserve">Выполнение 21,4 процента
</t>
  </si>
  <si>
    <t xml:space="preserve">Выполнение 12,2 процента
</t>
  </si>
  <si>
    <t xml:space="preserve">Выполнение 20,4 процента
</t>
  </si>
  <si>
    <t xml:space="preserve">Выполнение 57,3 процента
</t>
  </si>
  <si>
    <t xml:space="preserve">Выполнение 22,5 процентов
</t>
  </si>
  <si>
    <t xml:space="preserve">Выполнение 11,9 процентов
</t>
  </si>
  <si>
    <t xml:space="preserve">Выполнение 7,9 процентов
</t>
  </si>
  <si>
    <t xml:space="preserve">Выполнение 15,8 процентов
</t>
  </si>
  <si>
    <t xml:space="preserve">Выполнение 50 процентов
</t>
  </si>
  <si>
    <t xml:space="preserve">Выполнение 42,8 процентов
</t>
  </si>
  <si>
    <t xml:space="preserve">Выполнение 15,6 процентов
</t>
  </si>
  <si>
    <t xml:space="preserve">Выполнение 14,7 процентов
</t>
  </si>
  <si>
    <t xml:space="preserve">Выполнение 63,4 процентов
</t>
  </si>
  <si>
    <t xml:space="preserve">Выполнение 24,7 процентов
</t>
  </si>
  <si>
    <t xml:space="preserve">Выполнение 33 процента
</t>
  </si>
  <si>
    <t xml:space="preserve">Выполнение 30,5 процентов
</t>
  </si>
  <si>
    <t xml:space="preserve">Выполнение 21,8 процентов
</t>
  </si>
  <si>
    <t xml:space="preserve">Выполнение 23,4 процентов
</t>
  </si>
  <si>
    <t xml:space="preserve">Выполнение 41,6 процентов
</t>
  </si>
  <si>
    <t xml:space="preserve">Выполнение 41,7 процентов
</t>
  </si>
  <si>
    <t xml:space="preserve">Выполнение 33,4 процента
</t>
  </si>
  <si>
    <t xml:space="preserve">Выполнение 39,1 процент
</t>
  </si>
  <si>
    <t xml:space="preserve">Выполнение 5,9 процентов
</t>
  </si>
  <si>
    <t xml:space="preserve">Выполнение 25 процентов
</t>
  </si>
  <si>
    <t xml:space="preserve">Выполнение 36,2 процента
</t>
  </si>
  <si>
    <t xml:space="preserve">Выполнение 36,6 процентов
</t>
  </si>
  <si>
    <t xml:space="preserve">Выполнение 30,6 процентов
</t>
  </si>
  <si>
    <t xml:space="preserve">Выполнение 30,9 процентов
</t>
  </si>
  <si>
    <t xml:space="preserve">Выполнение 42,7 процентов
</t>
  </si>
  <si>
    <t xml:space="preserve">Выполнение 38,8 процентов
</t>
  </si>
  <si>
    <t xml:space="preserve">Выполнение 26,1 процент
</t>
  </si>
  <si>
    <t xml:space="preserve">Выполнение 29,2 процента
</t>
  </si>
  <si>
    <t xml:space="preserve">Выполнение 7,8 процентов
</t>
  </si>
  <si>
    <t xml:space="preserve">Выполнение 30,1 процент
</t>
  </si>
  <si>
    <t xml:space="preserve">Выполнение 11 процентов
</t>
  </si>
  <si>
    <t xml:space="preserve">Выполнение 17,6 процентов
</t>
  </si>
  <si>
    <t xml:space="preserve">Выполнение 20,6 процентов
</t>
  </si>
  <si>
    <t xml:space="preserve">Выполнение 62,7 процентов
</t>
  </si>
  <si>
    <t xml:space="preserve">Выполнение 60 процентов
</t>
  </si>
  <si>
    <t xml:space="preserve">Выполнение 3,03 процента
</t>
  </si>
  <si>
    <t xml:space="preserve">Выполнение 37 процентов
</t>
  </si>
  <si>
    <t xml:space="preserve">Выполнение 29 процентов
</t>
  </si>
  <si>
    <t xml:space="preserve">Выполнение 12,8 процентов
</t>
  </si>
  <si>
    <t xml:space="preserve">Выполнение 13,5 процентов
</t>
  </si>
  <si>
    <t xml:space="preserve">Выполнение 33,2 процента
</t>
  </si>
  <si>
    <t xml:space="preserve">Выполнение 32 процента
</t>
  </si>
  <si>
    <t xml:space="preserve">Выполнение 81,2 процента
</t>
  </si>
  <si>
    <t xml:space="preserve">Выполнение 6,8 процентов
</t>
  </si>
  <si>
    <t xml:space="preserve">Выполнение 53,6 процентов
</t>
  </si>
  <si>
    <t xml:space="preserve">Выполнение 55,6 процентов
</t>
  </si>
  <si>
    <t xml:space="preserve">Выполнение 55,7 процентов
</t>
  </si>
  <si>
    <t xml:space="preserve">Выполнение 48,6 процентов
</t>
  </si>
  <si>
    <t xml:space="preserve">Выполнение 33,1 процент
</t>
  </si>
  <si>
    <t xml:space="preserve">Выполнение 2,7 процентов
</t>
  </si>
  <si>
    <t xml:space="preserve">Выполнение 0,16 процентов
</t>
  </si>
  <si>
    <t xml:space="preserve">Выполнение 25,5 процентов
</t>
  </si>
  <si>
    <t xml:space="preserve">Выполнение 29,6 процентов
</t>
  </si>
  <si>
    <t xml:space="preserve">Выполнение 29,1 процент
</t>
  </si>
  <si>
    <t xml:space="preserve">Выполнение 7,2 процента
</t>
  </si>
  <si>
    <t xml:space="preserve">Выполнение 27,1 процент
</t>
  </si>
  <si>
    <t xml:space="preserve">Выполнение 27,6 процентов
</t>
  </si>
  <si>
    <t xml:space="preserve">Выполнение 45,1 процент
</t>
  </si>
  <si>
    <t xml:space="preserve">Выполнение 45,7 процентов
</t>
  </si>
  <si>
    <t xml:space="preserve">Выполнение 39 процентов
</t>
  </si>
  <si>
    <t xml:space="preserve">Выполнение 45,3 процента
</t>
  </si>
  <si>
    <t xml:space="preserve">Выполнение 31,5 процентов
</t>
  </si>
  <si>
    <t xml:space="preserve">Выполнение 22,4 процента
</t>
  </si>
  <si>
    <t xml:space="preserve">Выполнение 52,7 процентов
</t>
  </si>
  <si>
    <t xml:space="preserve">Выполнение 55,2 процента
</t>
  </si>
  <si>
    <t xml:space="preserve">Выполнение 55,2 процента
</t>
  </si>
  <si>
    <t xml:space="preserve">Выполнение 31,8 процентов
</t>
  </si>
  <si>
    <t xml:space="preserve">Выполнение 32,8 процентов
</t>
  </si>
  <si>
    <t xml:space="preserve">Выполнение 24,7 процента
</t>
  </si>
  <si>
    <t xml:space="preserve">Выполнение 33,7 процентов
</t>
  </si>
  <si>
    <t xml:space="preserve">Выполнение 14 процентов
</t>
  </si>
  <si>
    <t xml:space="preserve">Выполнение 15,02 процента
</t>
  </si>
  <si>
    <t xml:space="preserve">Выполнение 32,6 процентов
</t>
  </si>
  <si>
    <t xml:space="preserve">Выполнение 10,8 процентов
</t>
  </si>
  <si>
    <t xml:space="preserve">Выполнение 10,6 процентов
</t>
  </si>
  <si>
    <t xml:space="preserve">Выполнение 36,7 процентов
</t>
  </si>
  <si>
    <t xml:space="preserve">Выполнение 13,8 процентов
</t>
  </si>
  <si>
    <t xml:space="preserve">Выполнение 13,8 процентов
</t>
  </si>
  <si>
    <t xml:space="preserve">Выполнение 36,8 процентов
</t>
  </si>
  <si>
    <t xml:space="preserve">Выполнение 51,3 процента
</t>
  </si>
  <si>
    <t xml:space="preserve">Выполнение 39,3 процента
</t>
  </si>
  <si>
    <t xml:space="preserve">Выполнение 23,1 процент
</t>
  </si>
  <si>
    <t xml:space="preserve">Выполнение 51 процент
</t>
  </si>
  <si>
    <t xml:space="preserve">Выполнение 34 процента
</t>
  </si>
  <si>
    <t xml:space="preserve">Выполнение 13 процентов
</t>
  </si>
  <si>
    <t xml:space="preserve">Выполнение 8,7 процентов
</t>
  </si>
  <si>
    <t xml:space="preserve">Выполнение 42,2 процента
</t>
  </si>
  <si>
    <t xml:space="preserve">Выполнение 31,2 процента
</t>
  </si>
  <si>
    <t>Ремонт автомобильных дорог общего пользования местного значения</t>
  </si>
  <si>
    <t xml:space="preserve">Выполнение 28,7 процентов
</t>
  </si>
  <si>
    <t xml:space="preserve">Выполнение 1,07 процентов
</t>
  </si>
  <si>
    <t xml:space="preserve">Выполнение 22 процента
</t>
  </si>
  <si>
    <t xml:space="preserve">Выполнение 48,7 процентов
</t>
  </si>
  <si>
    <t>Развитие малого и среднего предпринимательства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</si>
  <si>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</si>
  <si>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</si>
  <si>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</si>
  <si>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>Частичная компенсация затрат организаций инфраструктуры поддержки предпринимательства, связанных с предоставлением услуг по размещению малых предприятий</t>
  </si>
  <si>
    <t>Конкурсный отбор инновационных проектов</t>
  </si>
  <si>
    <t>Повышение инвестиционной привлекательности</t>
  </si>
  <si>
    <t>Продвижение инвестиционного потенциала городского округа Реутов</t>
  </si>
  <si>
    <t xml:space="preserve">Участие в выставочно-ярмарочных мероприятиях, форумах, направленных на повышение конкурентоспособности и инвестиционной привлекательности </t>
  </si>
  <si>
    <t>Формирование реестра реализуемых инвестиционных проектов, ввод информации в систему ЕАС ПИП</t>
  </si>
  <si>
    <t>Создание многопрофильных индустриальных парков, индустриальных парков, технологических парков, промышленных площадок</t>
  </si>
  <si>
    <t>Проведение мероприятий по увеличению размера заработной платы на территории городского округа Реутов</t>
  </si>
  <si>
    <t>Мониторинг динамики размера заработной платы на действующих предприятиях</t>
  </si>
  <si>
    <t>Содействие увеличению размера реальной заработной платы в соответствии с постановлением Правительства РФ от 30.11.2016 № 118 в рамках трехстороннего соглашения</t>
  </si>
  <si>
    <t>Проведение мероприятий по увеличению рабочих мест на территории городского округа Реутов</t>
  </si>
  <si>
    <t>Осуществление взаимодействия с потенциальными инвесторами и действующими организациями по созданию новых рабочих мест</t>
  </si>
  <si>
    <t>Проведение мероприятий по информированию бизнес сообщества о мерах поддержки инвесторов при реализации инвестиционных проектов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</si>
  <si>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</si>
  <si>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3.3.1.</t>
  </si>
  <si>
    <t>Погашение кредиторской задолженности по мероприятию 2016 года "Разработка стратегии социально-экономического развития городского округа Реутов Московской области как наукограда Российской Федерации на период до 2026 года"</t>
  </si>
  <si>
    <t>Мероприятие 3.3.2.</t>
  </si>
  <si>
    <t>Оснащение детского сада на 210 мест с бассейном по адресу:  г. Реутов, ул. Гагарина, д.  20</t>
  </si>
  <si>
    <t>Мероприятие 3.3.3.</t>
  </si>
  <si>
    <t>Капитальный ремонт здания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</si>
  <si>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3.3.4.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</si>
  <si>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</si>
  <si>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3.3.5.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</si>
  <si>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Ленина, д. 20А</t>
  </si>
  <si>
    <t>Мероприятие 3.3.6.</t>
  </si>
  <si>
    <t>Капитальный ремонт здания муниципального автономного образовательного учреждения "Лицей" по адресу: Московская область, г. Реутов, ул. Южная, д. 8</t>
  </si>
  <si>
    <t>Мероприятие 3.3.7.</t>
  </si>
  <si>
    <t>Оснащение инженерных классов в муниципальном автономном образовательном учреждении "Лицей" по адресу: Московская область, г. Реутов, ул. Южная, д. 8</t>
  </si>
  <si>
    <t>Мероприятие 3.3.8.</t>
  </si>
  <si>
    <t>Текущий ремонт здания муниципального автономного образовательного учреждения "Лицей" по адресу: Московская область, г. Реутов, ул. Южная, д. 8</t>
  </si>
  <si>
    <t>Мероприятие 3.3.9.</t>
  </si>
  <si>
    <t>Капитальный ремонт здания муниципального образовательного учреждения</t>
  </si>
  <si>
    <t>Мероприятие 3.3.10.</t>
  </si>
  <si>
    <t xml:space="preserve">Оснащение инженерных классов в муниципальном образовательном учреждении </t>
  </si>
  <si>
    <t>Мероприятие 3.3.11.</t>
  </si>
  <si>
    <t>Развитие потребительского рынка</t>
  </si>
  <si>
    <t>Организация и размещение муниципального кладбища для городского округа Реутов</t>
  </si>
  <si>
    <t>Разработка мер по рациональному размещению объектов потребительского рынка и услуг</t>
  </si>
  <si>
    <t>Ввод (строительство) новых современных мощностей инфраструктуры потребительского рынка и услуг</t>
  </si>
  <si>
    <t>Содействие развитию объектов общественного питания, устанавливаемых в весенне-летний период</t>
  </si>
  <si>
    <t>Развитие рыночной торговли. Строительство (реконструкция) розничных рынков</t>
  </si>
  <si>
    <t>Организация мероприятий, направленных на демонтаж нестационарных торговых объектов, размещение которых не соответствует схеме рамещения нестационарных торговых объектов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</si>
  <si>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</si>
  <si>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Приведение кладбищ в соответствие с требованиями, установленными нормативными правовыми актами Московской области</t>
  </si>
  <si>
    <t>Количество организаций на рынке оказания ритуальных услуг</t>
  </si>
  <si>
    <t>Содержание мест захоронения (кладбищ), включая захоронения, находящиеся под охраной государства (воинские захоронения)</t>
  </si>
  <si>
    <t>Расходы на транспортировку с мест обнаружения или происшествия умерших на территории городского округа Реутов, не имеющих близких родственников и иных законных представителей для производства судебно-медицинской экспертизы и паталого-анатомического вскрытия</t>
  </si>
  <si>
    <t>Участие в организации региональной системы защиты прав потребителей</t>
  </si>
  <si>
    <t>Развитие конкуренции</t>
  </si>
  <si>
    <t>Основное мероприятие: «Развитие сферы муниципальных закупок и внедрение стандарта развития конкуренции на территории города Реутов»</t>
  </si>
  <si>
    <t>Утверждение перечня приоритетных и социально значимых рынков для развития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</si>
  <si>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</si>
  <si>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Разработка плана мероприятий («дорожной карты») по развитию конкуренции в муниципальном образовании</t>
  </si>
  <si>
    <t xml:space="preserve">Выполнение 47,2 процента
</t>
  </si>
  <si>
    <t xml:space="preserve">Выполнение 68,02 процента
</t>
  </si>
  <si>
    <t>Капитальный ремонт систем наружного и архитектурно-художественного освещения в рамках реализации приоритетного проекта "Светлый город"</t>
  </si>
  <si>
    <t xml:space="preserve">Выполнение 0,22 процента
</t>
  </si>
  <si>
    <t xml:space="preserve">Выполнение 0,35 процентов
</t>
  </si>
  <si>
    <t xml:space="preserve">Выполнение 0,56 процентов
</t>
  </si>
  <si>
    <t xml:space="preserve">Выполнение 37,7 процентов
</t>
  </si>
  <si>
    <t xml:space="preserve">Выполнение 35,5 процентов
</t>
  </si>
  <si>
    <t xml:space="preserve">Выполнение 38,2 процента
</t>
  </si>
  <si>
    <t xml:space="preserve">Выполнение 43,3 процента
</t>
  </si>
  <si>
    <t xml:space="preserve">Выполнение 49 процентов
</t>
  </si>
  <si>
    <t xml:space="preserve">Выполнение 4,6 процентов
</t>
  </si>
  <si>
    <t xml:space="preserve">Выполнение 41,4 процента
</t>
  </si>
  <si>
    <t xml:space="preserve">Выполнение 44 процента
</t>
  </si>
  <si>
    <t xml:space="preserve">Выполнение 27,4 процента
</t>
  </si>
  <si>
    <t xml:space="preserve">Выполнение 27,4 процента
</t>
  </si>
  <si>
    <t xml:space="preserve">Выполнение 0,18 процентов
</t>
  </si>
  <si>
    <t xml:space="preserve">Финансирование не предусмотрено
</t>
  </si>
  <si>
    <t xml:space="preserve">Финансирование  не предусмотрено
</t>
  </si>
  <si>
    <t>Организация и проведение спортивных мероприятий в городском округе Реутов в 2017 - 2021 годах</t>
  </si>
  <si>
    <t xml:space="preserve">Организация и проведение соревнований среди ДОУ «Веселые старты» </t>
  </si>
  <si>
    <t xml:space="preserve">Выполнение 60,9 процентов
</t>
  </si>
  <si>
    <t xml:space="preserve">Выполнение 97,4 процента 
</t>
  </si>
  <si>
    <t xml:space="preserve">Выполнение 57,8 процентов
</t>
  </si>
  <si>
    <t xml:space="preserve">Выполнение 52,3 процента
</t>
  </si>
  <si>
    <t xml:space="preserve">
Выполнение 0 процентов
</t>
  </si>
  <si>
    <t xml:space="preserve">Выполнение 46,4 процента
</t>
  </si>
  <si>
    <t xml:space="preserve">Выполнение 46,6 процентов
</t>
  </si>
  <si>
    <t xml:space="preserve">
Выполнение 49,7 процентов 
</t>
  </si>
  <si>
    <t xml:space="preserve">Выполнение 45,7 процентов
</t>
  </si>
  <si>
    <t xml:space="preserve">Выполнение 56 процентов
</t>
  </si>
  <si>
    <t xml:space="preserve">Выполнение 53,3 процента
</t>
  </si>
  <si>
    <t xml:space="preserve">Выполнение 53,9 процента
</t>
  </si>
  <si>
    <t xml:space="preserve">Выполнение 55,5 процентов
</t>
  </si>
  <si>
    <t xml:space="preserve">Выполнение 61,2 процента 
</t>
  </si>
  <si>
    <t xml:space="preserve">Выполнение 59,7 процентов
</t>
  </si>
  <si>
    <t>Выполнение 28,4 процентов</t>
  </si>
  <si>
    <t>Выполнение 31,7 процентов</t>
  </si>
  <si>
    <t>Выполнение 14,5 процентов</t>
  </si>
  <si>
    <t>Финансированиене предусмотрено</t>
  </si>
  <si>
    <t xml:space="preserve">Выполнение 21,5 процентов
</t>
  </si>
  <si>
    <t>«Безопасность дорожного движения»</t>
  </si>
  <si>
    <t xml:space="preserve">Выполнение 9,4 процентов
</t>
  </si>
  <si>
    <t>Выполнение 26,7 процентов</t>
  </si>
  <si>
    <t xml:space="preserve">Выполнение 0 процентов
</t>
  </si>
  <si>
    <t xml:space="preserve">Выполнение 5,5 процентов
</t>
  </si>
  <si>
    <t>Комплексное освоение земельных участков в целях жилищного строительства и развитие
застроенных территорий</t>
  </si>
  <si>
    <t xml:space="preserve">Выполнение 45,2 процента
</t>
  </si>
  <si>
    <t>Выполнение 19,1 процент</t>
  </si>
  <si>
    <t xml:space="preserve">Финансирование  предусмотрено
</t>
  </si>
  <si>
    <t>Объем финансирования на 2019 год (тыс. руб.)</t>
  </si>
  <si>
    <t>Выполнение 22,4 процента</t>
  </si>
  <si>
    <t xml:space="preserve">Выполнение 0,2 процентов
</t>
  </si>
  <si>
    <t>Выполнение 9,5 процентов</t>
  </si>
  <si>
    <t xml:space="preserve">Развитие имущественного комплекса городского округа Реутов на 2018-2022 годы </t>
  </si>
  <si>
    <t>Оценка рыночной стоимости объектов недвижимости. Выполнение работ по кадастровому учету объектов капитального строительства. Прочие работы, услуги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</si>
  <si>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</si>
  <si>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</si>
  <si>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Обеспечение многодетных семей городского округа Реутов земельными участками  с соответствующей инфраструктурой</t>
  </si>
  <si>
    <t>Обеспечение инфраструктуры органов местного самоуправления городского округа Реутов на 2018-2022 годы</t>
  </si>
  <si>
    <t>Централизация закупок городского округа Реутов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</si>
  <si>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</si>
  <si>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</si>
  <si>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Совершенствование муниципальной службы городского округа Реутов Московской области на 2018-2022 годы</t>
  </si>
  <si>
    <t>Развитие нормативной правовой базы по вопросам муниципальной службы</t>
  </si>
  <si>
    <t>Разработка плана мероприятий по противодействию коррупции (далее - план) - ежегодно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</si>
  <si>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</si>
  <si>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</t>
  </si>
  <si>
    <t>Организация работы по назначению на муниципальную службу</t>
  </si>
  <si>
    <t>Организация работы по проведению аттестации муниципальных служащих</t>
  </si>
  <si>
    <t>Ведение кадровой работы</t>
  </si>
  <si>
    <t>Консультирование муниципальных служащих по правовым и иным вопросам прохождения муниципальной службы</t>
  </si>
  <si>
    <t>Представление информации в Реестр сведений о составе муниципальных служащих Московской области</t>
  </si>
  <si>
    <t>Организация работы по исчислению стажа муниципальной службы</t>
  </si>
  <si>
    <t>Своевременная и качественная подготовка и предоставление отчетных данных</t>
  </si>
  <si>
    <t>Организация работы по присвоению классных чинов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</si>
  <si>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</si>
  <si>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14.</t>
  </si>
  <si>
    <t>Организация работы по прохождению диспансеризации муниципальными служащими</t>
  </si>
  <si>
    <t>Основное мероприятие 15.</t>
  </si>
  <si>
    <t>Организация работы по повышению квалификации муниципальных служащих</t>
  </si>
  <si>
    <t>Управление муниципальными финансами на 2018-2022 годы</t>
  </si>
  <si>
    <t>Проведение  мероприятий  по привлечению дополнительных  доходов в бюджет   и обеспечение  исполнения  доходов городского  округа Реутов</t>
  </si>
  <si>
    <t>Проведение мероприятий по привлечению дополнительных доходов в бюджет городского округа Реутов за счет погашения задолженности по налоговым платежам</t>
  </si>
  <si>
    <t>Проведение мероприятий  по привлечению дополнительных доходов в бюджет городского округа Реутов и обеспечение исполнения доходов бюджета городского округа Реутов</t>
  </si>
  <si>
    <t>Осуществление мониторинга поступлений налоговых и неналоговых доходов в бюджет городского округа Реутов</t>
  </si>
  <si>
    <t>Формирование прогноза поступлений налоговых и неналоговых доходов в бюджет городского округа Реутов на предстоящий месяц с разбивкой по дням в целях детального прогнозирования ассигнований для финансирования социально-значимых расходов бюджета городского округа Реутов</t>
  </si>
  <si>
    <t>Проведение работы с главными администраторами по представлению прогноза поступлений доходов и аналитических материалов по исполнению бюджета городского округа Реутов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</si>
  <si>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городском  округе Реутов</t>
  </si>
  <si>
    <t>Оценка качества управления  муниципальными финансами и соблюдения требований бюджетного законодательства Российской Федерации при осуществлении  бюджетного процесса в городском округе Реутов</t>
  </si>
  <si>
    <t>Использование мер ограничительного характера, направленных на повышение качества управления муниципальными финансами городского округа Реутов</t>
  </si>
  <si>
    <t>Управление муниципальным долгом городского округа Реутов</t>
  </si>
  <si>
    <t>Обеспечение своевременности и полноты исполнения долговых обязательств</t>
  </si>
  <si>
    <t>Проведение мониторинга условий предоставления кредитных ресурсов коммерческими банками</t>
  </si>
  <si>
    <t>Обеспечение снижения задолженности в бюджет по налоговым и неналоговым платежам</t>
  </si>
  <si>
    <t>Привлечение новых налогоплательщиков – юридических и физических лиц на территорию городского округа Реутов</t>
  </si>
  <si>
    <t>Обеспечивающая подпрограмма на 2018-2022 годы</t>
  </si>
  <si>
    <t>Обеспечение деятельности Администрации города Реутов</t>
  </si>
  <si>
    <t>Обеспечение деятельности Финансового управления Администрации города Реутов</t>
  </si>
  <si>
    <t xml:space="preserve">Обеспечение деятельности Комитета по управлению муниципальным имуществом Администрации города Реутов </t>
  </si>
  <si>
    <t>Территориальное развитие (градостроительство и землеустройство) на 2018-2022 годы</t>
  </si>
  <si>
    <t>Обеспечения утверждения генерального плана городского округа Реутов Московской области</t>
  </si>
  <si>
    <t>Проведение публичных слушаний по проектам документов территориального планирования городского округа Реутов Московской области</t>
  </si>
  <si>
    <t>Обеспечения утверждения правил землепользования и застройки городского округа Реутов Московской области</t>
  </si>
  <si>
    <t>Обеспечение проведения публичных слушаний по проектам документов градостроительного зонирования городского округа Реутов Московской области</t>
  </si>
  <si>
    <t>Утверждение нормативов градостроительного проектирования (решение Совета Депутатов)</t>
  </si>
  <si>
    <t>Разработка и реализация концепций пешеходных улиц и общественных пространств</t>
  </si>
  <si>
    <t>Согласование и утверждение плана – графика разработки и реализации концепции пешеходной улицы</t>
  </si>
  <si>
    <t>Мероприятие 6.1.1.</t>
  </si>
  <si>
    <t>Благоустройство  территории примыкающей к городскому пруду</t>
  </si>
  <si>
    <t>Мероприятие 6.1.2.</t>
  </si>
  <si>
    <t>Благоустройство пешеходной улицы Юбилейный проспект</t>
  </si>
  <si>
    <t>Мероприятие 6.1.3.</t>
  </si>
  <si>
    <t>Благоустройство пешеходного пространства улицы Ленина в границах улицы Калинина – улицы Дзержинского. (сквер перед ТЦ Карат)</t>
  </si>
  <si>
    <t>Разработка и согласование концепции пешеходной улицы</t>
  </si>
  <si>
    <t>Мероприятие 6.2.1.</t>
  </si>
  <si>
    <t>Благоустройство территории примыкающей к городскому пруду</t>
  </si>
  <si>
    <t>Мероприятие 6.2.2.</t>
  </si>
  <si>
    <t>Благоустройство  пешеходной улицы Юбилейный проспект</t>
  </si>
  <si>
    <t>Мероприятие 6.2.3.</t>
  </si>
  <si>
    <t>Реализация концепции пешеходной улицы</t>
  </si>
  <si>
    <t>Мероприятие 6.3.1.</t>
  </si>
  <si>
    <t>Мероприятие 6.3.2.</t>
  </si>
  <si>
    <t>Мероприятие 6.3.3.</t>
  </si>
  <si>
    <t>Приведение в порядок городских территорий</t>
  </si>
  <si>
    <t>Разработка и согласование альбома мероприятий по приведению в порядок городской территории</t>
  </si>
  <si>
    <t>Мероприятие 7.1.1.</t>
  </si>
  <si>
    <t xml:space="preserve">информационных конструкций, участков прилегающих территорий и ограждений, расположенных вдоль вылетной магистрали - Носовихинского шоссе </t>
  </si>
  <si>
    <t>Мероприятие 7.1.2.</t>
  </si>
  <si>
    <t>информационных конструкций, участков прилегающих территорий и ограждений, расположенных вдоль вылетной магистрали - Горьковского шоссе</t>
  </si>
  <si>
    <t>Мероприятие 7.1.3.</t>
  </si>
  <si>
    <t>информационных конструкций, участков прилегающих территорий и ограждений, расположенных вдоль вылетной магистрали - МКАД</t>
  </si>
  <si>
    <t>Мероприятие 7.1.4.</t>
  </si>
  <si>
    <t>информационных конструкций, участков прилегающих территорий и ограждений, расположенных на территории городского округа Реутов.</t>
  </si>
  <si>
    <t>Согласование и утверждение плана-графика проведения работ по приведению в порядок городской территории.</t>
  </si>
  <si>
    <t>Мероприятие 7.2.1.</t>
  </si>
  <si>
    <t>Мероприятие 7.2.2.</t>
  </si>
  <si>
    <t>Мероприятие 7.2.3.</t>
  </si>
  <si>
    <t>Мероприятие 7.2.4.</t>
  </si>
  <si>
    <t>Разработка концепции архитектурно-художественной подсветки зданий и сооружений</t>
  </si>
  <si>
    <t>Концепция архитектурно - художественной подсветки зданий и сооружений в городском округе Реутов Московской области 2018-2022</t>
  </si>
  <si>
    <t>Разработка схемы установки пешеходной навигации</t>
  </si>
  <si>
    <t>Мероприятие 9.1.</t>
  </si>
  <si>
    <t xml:space="preserve">Концепция пешеходной навигации в городском округе Реутов Московской области 2018-2022 </t>
  </si>
  <si>
    <t>Запрет на долгострой. Улучшение архитектурного облика (ликвидация долгостроев, самовольного строительства)</t>
  </si>
  <si>
    <t xml:space="preserve">Выполнение 13,6 процентов
</t>
  </si>
  <si>
    <t xml:space="preserve">Выполнение 1,12 процентов
</t>
  </si>
  <si>
    <t xml:space="preserve">Выполнение 32,4 процента
</t>
  </si>
  <si>
    <t xml:space="preserve">Выполнение 39,2 процента
</t>
  </si>
  <si>
    <t xml:space="preserve">Выполнение 36,3  процента
</t>
  </si>
  <si>
    <t xml:space="preserve">Выполнение 35 процентов
</t>
  </si>
  <si>
    <t xml:space="preserve">Выполнение 23,5 процентов
</t>
  </si>
  <si>
    <t xml:space="preserve">Выполнение 46 процентов
</t>
  </si>
  <si>
    <t xml:space="preserve">Выполнение 56,4 процента
</t>
  </si>
  <si>
    <t xml:space="preserve">Выполнение 94 процента
</t>
  </si>
  <si>
    <t xml:space="preserve">Выполнение 88 процентов
</t>
  </si>
  <si>
    <t xml:space="preserve">Выполнение 39,2 процентов
</t>
  </si>
  <si>
    <t xml:space="preserve">Выполнение 13,23 процентов
</t>
  </si>
  <si>
    <t xml:space="preserve">Выполнение 43,36 процентов
</t>
  </si>
  <si>
    <t xml:space="preserve">Выполнение 43,07 процентов
</t>
  </si>
  <si>
    <t xml:space="preserve">Выполнение 47,72 процентов
</t>
  </si>
  <si>
    <t xml:space="preserve">Выполнение 46,34 процентов
</t>
  </si>
  <si>
    <t xml:space="preserve">Выполнение 1,90 процентов
</t>
  </si>
  <si>
    <t xml:space="preserve">Выполнение 28,87 процентов
</t>
  </si>
  <si>
    <t xml:space="preserve">Выполнение 52,4 процентов
</t>
  </si>
  <si>
    <t xml:space="preserve">Выполнение 38,73 процентов
</t>
  </si>
  <si>
    <t xml:space="preserve">Выполнение 20,37 процентов
</t>
  </si>
  <si>
    <t>Выполнение 41,24 процентов</t>
  </si>
  <si>
    <t xml:space="preserve">Выполнение 26,93 процентов
</t>
  </si>
  <si>
    <t xml:space="preserve">Выполнение 34,13 процентов
</t>
  </si>
  <si>
    <t xml:space="preserve">Выполнение 34,47 процентов
</t>
  </si>
  <si>
    <t xml:space="preserve">Выполнение 42,85 процентов
</t>
  </si>
  <si>
    <t xml:space="preserve">Выполнение 42,71 процентов
</t>
  </si>
  <si>
    <t xml:space="preserve">Выполнение 47,22 процентов
</t>
  </si>
  <si>
    <t xml:space="preserve">Выполнение 47,71 процентов
</t>
  </si>
  <si>
    <t xml:space="preserve">Выполнение 48,02 процентов
</t>
  </si>
  <si>
    <t xml:space="preserve">Выполнение 49,04 процентов
</t>
  </si>
  <si>
    <t xml:space="preserve">Выполнение 16,53 процентов
</t>
  </si>
  <si>
    <t xml:space="preserve">Выполнение 59,34 процентов
</t>
  </si>
  <si>
    <t xml:space="preserve">Выполнение 127 процентов
</t>
  </si>
  <si>
    <t xml:space="preserve">Выполнение 51,12 процентов
</t>
  </si>
  <si>
    <t xml:space="preserve">Выполнение 55,96 процентов
</t>
  </si>
  <si>
    <t xml:space="preserve">Выполнение 33,38 процентов
</t>
  </si>
  <si>
    <t xml:space="preserve">Выполнение 38,52 процентов
</t>
  </si>
  <si>
    <t xml:space="preserve">Выполнение 8,3 процентов
</t>
  </si>
  <si>
    <t xml:space="preserve">Выполнение 53,56 процентов
</t>
  </si>
  <si>
    <t xml:space="preserve">Выполнение 48,55 процентов
</t>
  </si>
  <si>
    <t xml:space="preserve">Выполнение 50,48 процентов
</t>
  </si>
  <si>
    <t xml:space="preserve">Выполнение 27,81 процентов
</t>
  </si>
  <si>
    <t xml:space="preserve">Выполнение 33,33 процента
</t>
  </si>
  <si>
    <t xml:space="preserve">Выполнение 21,32 процентов
</t>
  </si>
  <si>
    <t xml:space="preserve">Выполнение 97,05 процентов
</t>
  </si>
  <si>
    <t xml:space="preserve">Выполнение 44,97 процентов
</t>
  </si>
  <si>
    <t xml:space="preserve">Выполнение 10,65 процентов
</t>
  </si>
  <si>
    <t xml:space="preserve">Выполнение 10,50 процентов
</t>
  </si>
  <si>
    <t xml:space="preserve">Выполнение 48,93 процентов
</t>
  </si>
  <si>
    <t xml:space="preserve">Выполнение 34,76 процента
</t>
  </si>
  <si>
    <t xml:space="preserve">Выполнение 23,58 процентов
</t>
  </si>
  <si>
    <t xml:space="preserve">Выполнение 52,32 процентов
</t>
  </si>
  <si>
    <t xml:space="preserve">Выполнение 60,10 процента
</t>
  </si>
  <si>
    <t xml:space="preserve">Выполнение 41,08 процента
</t>
  </si>
  <si>
    <t xml:space="preserve">Выполнение 36,57 процентов
</t>
  </si>
  <si>
    <t xml:space="preserve">Выполнение 23,40 процента
</t>
  </si>
  <si>
    <t xml:space="preserve">Выполнение 45,74 процентов
</t>
  </si>
  <si>
    <t xml:space="preserve">Выполнение 26,47 процента
</t>
  </si>
  <si>
    <t xml:space="preserve">Выполнение 44,07 процента
</t>
  </si>
  <si>
    <t>Выполнение 10,4 процента</t>
  </si>
  <si>
    <t>Выполнение 33,6 процентов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</si>
</sst>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₽_-;\-* #,##0.00_₽_-;_-* &quot;-&quot;??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</cellStyleXfs>
  <cellXfs count="7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2" fontId="6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4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top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1" fillId="0" borderId="1" xfId="0" applyNumberFormat="1" applyFont="1" applyFill="1" applyBorder="1" applyAlignment="1" applyProtection="1">
      <alignment horizontal="right" vertical="top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>
      <alignment wrapText="1"/>
    </xf>
    <xf numFmtId="0" fontId="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7" fillId="0" borderId="1" xfId="0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Alignment="1">
      <alignment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Fill="1" applyBorder="1" applyAlignment="1" applyProtection="1">
      <alignment horizontal="right" vertical="top" wrapText="1"/>
      <protection locked="0"/>
    </xf>
    <xf numFmtId="0" fontId="9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4" fontId="11" fillId="2" borderId="1" xfId="0" applyNumberFormat="1" applyFont="1" applyFill="1" applyBorder="1" applyAlignment="1" applyProtection="1">
      <alignment horizontal="right" vertical="top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8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0" applyNumberFormat="1" applyFont="1" applyFill="1" applyBorder="1" applyAlignment="1" applyProtection="1">
      <alignment horizontal="left" vertical="center" wrapText="1"/>
      <protection locked="0"/>
    </xf>
    <xf numFmtId="0" fontId="8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0" applyNumberFormat="1" applyFont="1" applyFill="1" applyBorder="1" applyAlignment="1" applyProtection="1">
      <alignment horizontal="left" vertical="top" wrapText="1"/>
      <protection locked="0"/>
    </xf>
    <xf numFmtId="0" fontId="1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0" applyNumberFormat="1" applyFont="1" applyFill="1" applyBorder="1" applyAlignment="1" applyProtection="1">
      <alignment horizontal="left" vertical="top" wrapText="1"/>
      <protection locked="0"/>
    </xf>
    <xf numFmtId="0" fontId="8" fillId="0" borderId="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NumberFormat="1" applyFont="1" applyFill="1" applyBorder="1" applyAlignment="1" applyProtection="1">
      <alignment horizontal="left" vertical="top" wrapText="1"/>
      <protection locked="0"/>
    </xf>
    <xf numFmtId="4" fontId="8" fillId="2" borderId="1" xfId="0" applyNumberFormat="1" applyFont="1" applyFill="1" applyBorder="1" applyAlignment="1" applyProtection="1">
      <alignment horizontal="right" vertical="top" wrapText="1"/>
      <protection locked="0"/>
    </xf>
    <xf numFmtId="4" fontId="7" fillId="2" borderId="1" xfId="0" applyNumberFormat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7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4" xfId="0" applyNumberFormat="1" applyFont="1" applyFill="1" applyBorder="1" applyAlignment="1" applyProtection="1">
      <alignment horizontal="left" vertical="top" wrapText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11" xfId="0" applyFont="1" applyBorder="1" applyAlignment="1">
      <alignment vertical="top" wrapText="1"/>
    </xf>
    <xf numFmtId="0" fontId="7" fillId="0" borderId="8" xfId="0" applyNumberFormat="1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wrapText="1"/>
    </xf>
    <xf numFmtId="0" fontId="3" fillId="0" borderId="10" xfId="0" applyFont="1" applyFill="1" applyBorder="1" applyAlignment="1">
      <alignment vertical="top" wrapText="1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7" fillId="0" borderId="11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vertical="top" wrapText="1"/>
    </xf>
    <xf numFmtId="0" fontId="6" fillId="0" borderId="10" xfId="0" applyFont="1" applyBorder="1" applyAlignment="1" applyProtection="1">
      <alignment vertical="top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right" vertical="top" wrapText="1"/>
      <protection locked="0"/>
    </xf>
    <xf numFmtId="4" fontId="3" fillId="2" borderId="1" xfId="0" applyNumberFormat="1" applyFont="1" applyFill="1" applyBorder="1" applyAlignment="1" applyProtection="1">
      <alignment horizontal="right" vertical="top" wrapText="1"/>
      <protection locked="0"/>
    </xf>
  </cellXfs>
  <cellStyles count="5">
    <cellStyle name="Обычный" xfId="0" builtinId="0"/>
    <cellStyle name="Обычный 2" xfId="2"/>
    <cellStyle name="Обычный 3" xfId="4"/>
    <cellStyle name="Обычный 4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7"/>
  <sheetViews>
    <sheetView tabSelected="1" topLeftCell="A520" zoomScale="110" zoomScaleNormal="110" workbookViewId="0">
      <selection activeCell="E475" sqref="E475"/>
    </sheetView>
  </sheetViews>
  <sheetFormatPr defaultRowHeight="12" x14ac:dyDescent="0.2"/>
  <cols>
    <col min="1" max="1" width="5.5703125" style="3" customWidth="1"/>
    <col min="2" max="2" width="21.5703125" style="8" customWidth="1"/>
    <col min="3" max="3" width="21.85546875" style="3" customWidth="1"/>
    <col min="4" max="4" width="39.42578125" style="3" customWidth="1"/>
    <col min="5" max="5" width="18" style="63" customWidth="1"/>
    <col min="6" max="6" width="12.28515625" style="63" customWidth="1"/>
    <col min="7" max="7" width="24.5703125" style="63" customWidth="1"/>
    <col min="8" max="8" width="16.85546875" style="63" customWidth="1"/>
    <col min="9" max="9" width="13.7109375" style="3" bestFit="1" customWidth="1"/>
    <col min="10" max="16384" width="9.140625" style="3"/>
  </cols>
  <sheetData>
    <row r="1" spans="1:9" x14ac:dyDescent="0.2">
      <c r="B1" s="51" t="s">
        <v>0</v>
      </c>
      <c r="C1" s="51"/>
      <c r="D1" s="51"/>
      <c r="E1" s="51"/>
      <c r="F1" s="51"/>
      <c r="G1" s="51"/>
      <c r="H1" s="51"/>
      <c r="I1" s="51"/>
    </row>
    <row r="2" spans="1:9" x14ac:dyDescent="0.2">
      <c r="B2" s="51" t="s">
        <v>1</v>
      </c>
      <c r="C2" s="51"/>
      <c r="D2" s="51"/>
      <c r="E2" s="51"/>
      <c r="F2" s="51"/>
      <c r="G2" s="51"/>
      <c r="H2" s="51"/>
      <c r="I2" s="51"/>
    </row>
    <row r="3" spans="1:9" x14ac:dyDescent="0.2">
      <c r="B3" s="51" t="s">
        <v>176</v>
      </c>
      <c r="C3" s="51"/>
      <c r="D3" s="51"/>
      <c r="E3" s="51"/>
      <c r="F3" s="51"/>
      <c r="G3" s="51"/>
      <c r="H3" s="51"/>
      <c r="I3" s="51"/>
    </row>
    <row r="4" spans="1:9" x14ac:dyDescent="0.2">
      <c r="B4" s="2"/>
      <c r="C4" s="2"/>
      <c r="D4" s="2"/>
      <c r="E4" s="62"/>
      <c r="F4" s="62"/>
      <c r="G4" s="62"/>
      <c r="H4" s="62"/>
      <c r="I4" s="2"/>
    </row>
    <row r="5" spans="1:9" x14ac:dyDescent="0.2">
      <c r="B5" s="2"/>
      <c r="C5" s="2"/>
      <c r="D5" s="2"/>
      <c r="E5" s="62"/>
      <c r="F5" s="62"/>
      <c r="G5" s="62"/>
      <c r="H5" s="62"/>
      <c r="I5" s="4"/>
    </row>
    <row r="6" spans="1:9" ht="72" x14ac:dyDescent="0.2">
      <c r="A6" s="1" t="s">
        <v>2</v>
      </c>
      <c r="B6" s="1" t="s">
        <v>3</v>
      </c>
      <c r="C6" s="1" t="s">
        <v>7</v>
      </c>
      <c r="D6" s="30" t="s">
        <v>8</v>
      </c>
      <c r="E6" s="1" t="s">
        <v>1169</v>
      </c>
      <c r="F6" s="1" t="s">
        <v>4</v>
      </c>
      <c r="G6" s="74" t="s">
        <v>6</v>
      </c>
      <c r="H6" s="1" t="s">
        <v>5</v>
      </c>
      <c r="I6" s="4"/>
    </row>
    <row r="7" spans="1:9" s="8" customFormat="1" x14ac:dyDescent="0.2">
      <c r="A7" s="5">
        <v>1</v>
      </c>
      <c r="B7" s="5">
        <v>2</v>
      </c>
      <c r="C7" s="6">
        <v>3</v>
      </c>
      <c r="D7" s="31">
        <v>4</v>
      </c>
      <c r="E7" s="7">
        <v>5</v>
      </c>
      <c r="F7" s="7">
        <v>6</v>
      </c>
      <c r="G7" s="7">
        <v>7</v>
      </c>
      <c r="H7" s="7">
        <v>8</v>
      </c>
      <c r="I7" s="3"/>
    </row>
    <row r="8" spans="1:9" ht="33" customHeight="1" x14ac:dyDescent="0.2">
      <c r="A8" s="53">
        <v>1</v>
      </c>
      <c r="B8" s="52" t="s">
        <v>164</v>
      </c>
      <c r="C8" s="9" t="s">
        <v>9</v>
      </c>
      <c r="D8" s="32" t="s">
        <v>1062</v>
      </c>
      <c r="E8" s="17">
        <f>E9+E10+E11+E12+E13</f>
        <v>6600</v>
      </c>
      <c r="F8" s="17">
        <f>F9+F10+F11+F12+F13</f>
        <v>0</v>
      </c>
      <c r="G8" s="10" t="s">
        <v>165</v>
      </c>
      <c r="H8" s="17">
        <f>H9+H10+H11+H12+H13</f>
        <v>0</v>
      </c>
    </row>
    <row r="9" spans="1:9" ht="112.5" customHeight="1" x14ac:dyDescent="0.2">
      <c r="A9" s="53"/>
      <c r="B9" s="52"/>
      <c r="C9" s="11" t="s">
        <v>178</v>
      </c>
      <c r="D9" s="33" t="s">
        <v>1063</v>
      </c>
      <c r="E9" s="10">
        <f>600</f>
        <v>600</v>
      </c>
      <c r="F9" s="10">
        <f>0</f>
        <v>0</v>
      </c>
      <c r="G9" s="10" t="s">
        <v>165</v>
      </c>
      <c r="H9" s="10">
        <f>0</f>
        <v>0</v>
      </c>
    </row>
    <row r="10" spans="1:9" ht="59.25" customHeight="1" x14ac:dyDescent="0.2">
      <c r="A10" s="53"/>
      <c r="B10" s="52"/>
      <c r="C10" s="11" t="s">
        <v>187</v>
      </c>
      <c r="D10" s="33" t="s">
        <v>1064</v>
      </c>
      <c r="E10" s="10">
        <f>6000</f>
        <v>6000</v>
      </c>
      <c r="F10" s="10">
        <f>0</f>
        <v>0</v>
      </c>
      <c r="G10" s="10" t="s">
        <v>165</v>
      </c>
      <c r="H10" s="10">
        <f>0</f>
        <v>0</v>
      </c>
    </row>
    <row r="11" spans="1:9" ht="134.25" customHeight="1" x14ac:dyDescent="0.2">
      <c r="A11" s="53"/>
      <c r="B11" s="52"/>
      <c r="C11" s="11" t="s">
        <v>202</v>
      </c>
      <c r="D11" s="33" t="s">
        <v>1065</v>
      </c>
      <c r="E11" s="10">
        <f>0</f>
        <v>0</v>
      </c>
      <c r="F11" s="10">
        <f>0</f>
        <v>0</v>
      </c>
      <c r="G11" s="10" t="s">
        <v>1136</v>
      </c>
      <c r="H11" s="10">
        <f>0</f>
        <v>0</v>
      </c>
    </row>
    <row r="12" spans="1:9" ht="57.75" customHeight="1" x14ac:dyDescent="0.2">
      <c r="A12" s="53"/>
      <c r="B12" s="52"/>
      <c r="C12" s="11" t="s">
        <v>209</v>
      </c>
      <c r="D12" s="33" t="s">
        <v>1066</v>
      </c>
      <c r="E12" s="10">
        <f>0</f>
        <v>0</v>
      </c>
      <c r="F12" s="10">
        <f>0</f>
        <v>0</v>
      </c>
      <c r="G12" s="10" t="s">
        <v>1137</v>
      </c>
      <c r="H12" s="10">
        <f>0</f>
        <v>0</v>
      </c>
    </row>
    <row r="13" spans="1:9" ht="39" customHeight="1" x14ac:dyDescent="0.2">
      <c r="A13" s="53"/>
      <c r="B13" s="52"/>
      <c r="C13" s="11" t="s">
        <v>214</v>
      </c>
      <c r="D13" s="12" t="s">
        <v>1067</v>
      </c>
      <c r="E13" s="10">
        <f>0</f>
        <v>0</v>
      </c>
      <c r="F13" s="10">
        <f>0</f>
        <v>0</v>
      </c>
      <c r="G13" s="10" t="s">
        <v>1137</v>
      </c>
      <c r="H13" s="10">
        <f>0</f>
        <v>0</v>
      </c>
    </row>
    <row r="14" spans="1:9" ht="27" customHeight="1" x14ac:dyDescent="0.2">
      <c r="A14" s="53"/>
      <c r="B14" s="52"/>
      <c r="C14" s="13" t="s">
        <v>10</v>
      </c>
      <c r="D14" s="32" t="s">
        <v>1068</v>
      </c>
      <c r="E14" s="17">
        <f>E15+E19+E22</f>
        <v>51104.890000000007</v>
      </c>
      <c r="F14" s="17">
        <f>F15+F19+F22</f>
        <v>0</v>
      </c>
      <c r="G14" s="10" t="s">
        <v>165</v>
      </c>
      <c r="H14" s="17">
        <f>H15+H19+H22</f>
        <v>0</v>
      </c>
    </row>
    <row r="15" spans="1:9" ht="38.25" customHeight="1" x14ac:dyDescent="0.2">
      <c r="A15" s="53"/>
      <c r="B15" s="52"/>
      <c r="C15" s="11" t="s">
        <v>178</v>
      </c>
      <c r="D15" s="33" t="s">
        <v>1069</v>
      </c>
      <c r="E15" s="10">
        <f>E16+E17+E18</f>
        <v>0</v>
      </c>
      <c r="F15" s="10">
        <f>F16+F17+F18</f>
        <v>0</v>
      </c>
      <c r="G15" s="10" t="s">
        <v>1136</v>
      </c>
      <c r="H15" s="10">
        <f>H16+H17+H18</f>
        <v>0</v>
      </c>
    </row>
    <row r="16" spans="1:9" ht="51.75" customHeight="1" x14ac:dyDescent="0.2">
      <c r="A16" s="53"/>
      <c r="B16" s="52"/>
      <c r="C16" s="14" t="s">
        <v>14</v>
      </c>
      <c r="D16" s="33" t="s">
        <v>1070</v>
      </c>
      <c r="E16" s="10">
        <f>0</f>
        <v>0</v>
      </c>
      <c r="F16" s="10">
        <f>0</f>
        <v>0</v>
      </c>
      <c r="G16" s="10" t="s">
        <v>1136</v>
      </c>
      <c r="H16" s="10">
        <f>0</f>
        <v>0</v>
      </c>
    </row>
    <row r="17" spans="1:8" ht="38.25" customHeight="1" x14ac:dyDescent="0.2">
      <c r="A17" s="53"/>
      <c r="B17" s="52"/>
      <c r="C17" s="14" t="s">
        <v>15</v>
      </c>
      <c r="D17" s="33" t="s">
        <v>1071</v>
      </c>
      <c r="E17" s="10">
        <f>0</f>
        <v>0</v>
      </c>
      <c r="F17" s="10">
        <f>0</f>
        <v>0</v>
      </c>
      <c r="G17" s="10" t="s">
        <v>1136</v>
      </c>
      <c r="H17" s="10">
        <f>0</f>
        <v>0</v>
      </c>
    </row>
    <row r="18" spans="1:8" ht="48" customHeight="1" x14ac:dyDescent="0.2">
      <c r="A18" s="53"/>
      <c r="B18" s="52"/>
      <c r="C18" s="14" t="s">
        <v>17</v>
      </c>
      <c r="D18" s="33" t="s">
        <v>1072</v>
      </c>
      <c r="E18" s="10">
        <f>0</f>
        <v>0</v>
      </c>
      <c r="F18" s="10">
        <f>0</f>
        <v>0</v>
      </c>
      <c r="G18" s="10" t="s">
        <v>1136</v>
      </c>
      <c r="H18" s="10">
        <f>0</f>
        <v>0</v>
      </c>
    </row>
    <row r="19" spans="1:8" ht="37.5" customHeight="1" x14ac:dyDescent="0.2">
      <c r="A19" s="53"/>
      <c r="B19" s="52"/>
      <c r="C19" s="11" t="s">
        <v>187</v>
      </c>
      <c r="D19" s="33" t="s">
        <v>1073</v>
      </c>
      <c r="E19" s="10">
        <f>E20+E21</f>
        <v>0</v>
      </c>
      <c r="F19" s="10">
        <f>F20+F21</f>
        <v>0</v>
      </c>
      <c r="G19" s="10" t="s">
        <v>1136</v>
      </c>
      <c r="H19" s="10">
        <f>H20+H21</f>
        <v>0</v>
      </c>
    </row>
    <row r="20" spans="1:8" ht="36.75" customHeight="1" x14ac:dyDescent="0.2">
      <c r="A20" s="53"/>
      <c r="B20" s="52"/>
      <c r="C20" s="14" t="s">
        <v>98</v>
      </c>
      <c r="D20" s="33" t="s">
        <v>1074</v>
      </c>
      <c r="E20" s="10">
        <f>0</f>
        <v>0</v>
      </c>
      <c r="F20" s="10">
        <f>0</f>
        <v>0</v>
      </c>
      <c r="G20" s="10" t="s">
        <v>1136</v>
      </c>
      <c r="H20" s="10">
        <f>0</f>
        <v>0</v>
      </c>
    </row>
    <row r="21" spans="1:8" ht="60.75" customHeight="1" x14ac:dyDescent="0.2">
      <c r="A21" s="53"/>
      <c r="B21" s="52"/>
      <c r="C21" s="14" t="s">
        <v>190</v>
      </c>
      <c r="D21" s="33" t="s">
        <v>1075</v>
      </c>
      <c r="E21" s="10">
        <f>0</f>
        <v>0</v>
      </c>
      <c r="F21" s="10">
        <f>0</f>
        <v>0</v>
      </c>
      <c r="G21" s="10" t="s">
        <v>1136</v>
      </c>
      <c r="H21" s="10">
        <f>0</f>
        <v>0</v>
      </c>
    </row>
    <row r="22" spans="1:8" ht="39.75" customHeight="1" x14ac:dyDescent="0.2">
      <c r="A22" s="53"/>
      <c r="B22" s="52"/>
      <c r="C22" s="11" t="s">
        <v>202</v>
      </c>
      <c r="D22" s="33" t="s">
        <v>1076</v>
      </c>
      <c r="E22" s="10">
        <f>E23+E24+E25</f>
        <v>51104.890000000007</v>
      </c>
      <c r="F22" s="10">
        <f>F23+F24+F25</f>
        <v>0</v>
      </c>
      <c r="G22" s="10" t="s">
        <v>165</v>
      </c>
      <c r="H22" s="10">
        <f>H23+H24+H25</f>
        <v>0</v>
      </c>
    </row>
    <row r="23" spans="1:8" ht="38.25" customHeight="1" x14ac:dyDescent="0.2">
      <c r="A23" s="53"/>
      <c r="B23" s="52"/>
      <c r="C23" s="14" t="s">
        <v>104</v>
      </c>
      <c r="D23" s="33" t="s">
        <v>1077</v>
      </c>
      <c r="E23" s="10">
        <f>0</f>
        <v>0</v>
      </c>
      <c r="F23" s="10">
        <f>0</f>
        <v>0</v>
      </c>
      <c r="G23" s="10" t="s">
        <v>1136</v>
      </c>
      <c r="H23" s="10">
        <f>0</f>
        <v>0</v>
      </c>
    </row>
    <row r="24" spans="1:8" ht="51" customHeight="1" x14ac:dyDescent="0.2">
      <c r="A24" s="53"/>
      <c r="B24" s="52"/>
      <c r="C24" s="14" t="s">
        <v>205</v>
      </c>
      <c r="D24" s="33" t="s">
        <v>1078</v>
      </c>
      <c r="E24" s="10">
        <f>0</f>
        <v>0</v>
      </c>
      <c r="F24" s="10">
        <f>0</f>
        <v>0</v>
      </c>
      <c r="G24" s="10" t="s">
        <v>1136</v>
      </c>
      <c r="H24" s="10">
        <f>0</f>
        <v>0</v>
      </c>
    </row>
    <row r="25" spans="1:8" ht="95.25" customHeight="1" x14ac:dyDescent="0.2">
      <c r="A25" s="53"/>
      <c r="B25" s="52"/>
      <c r="C25" s="14" t="s">
        <v>207</v>
      </c>
      <c r="D25" s="33" t="s">
        <v>1079</v>
      </c>
      <c r="E25" s="10">
        <f>E26+E27+E28+E29+E30+E31+E32+E33+E34+E35+E36</f>
        <v>51104.890000000007</v>
      </c>
      <c r="F25" s="10">
        <f>F26+F27+F28+F29+F30+F31+F32+F33+F34+F35+F36</f>
        <v>0</v>
      </c>
      <c r="G25" s="10" t="s">
        <v>165</v>
      </c>
      <c r="H25" s="10">
        <f>H26+H27+H28+H29+H30+H31+H32+H33+H34+H35+H36</f>
        <v>0</v>
      </c>
    </row>
    <row r="26" spans="1:8" ht="70.5" customHeight="1" x14ac:dyDescent="0.2">
      <c r="A26" s="53"/>
      <c r="B26" s="52"/>
      <c r="C26" s="14" t="s">
        <v>1080</v>
      </c>
      <c r="D26" s="33" t="s">
        <v>1081</v>
      </c>
      <c r="E26" s="10">
        <f>0</f>
        <v>0</v>
      </c>
      <c r="F26" s="10">
        <f>0</f>
        <v>0</v>
      </c>
      <c r="G26" s="10" t="s">
        <v>1136</v>
      </c>
      <c r="H26" s="10">
        <f>0</f>
        <v>0</v>
      </c>
    </row>
    <row r="27" spans="1:8" ht="35.25" customHeight="1" x14ac:dyDescent="0.2">
      <c r="A27" s="53"/>
      <c r="B27" s="52"/>
      <c r="C27" s="14" t="s">
        <v>1082</v>
      </c>
      <c r="D27" s="33" t="s">
        <v>1083</v>
      </c>
      <c r="E27" s="10">
        <f>0</f>
        <v>0</v>
      </c>
      <c r="F27" s="10">
        <f>0</f>
        <v>0</v>
      </c>
      <c r="G27" s="10" t="s">
        <v>1136</v>
      </c>
      <c r="H27" s="10">
        <f>0</f>
        <v>0</v>
      </c>
    </row>
    <row r="28" spans="1:8" ht="72" customHeight="1" x14ac:dyDescent="0.2">
      <c r="A28" s="53"/>
      <c r="B28" s="52"/>
      <c r="C28" s="14" t="s">
        <v>1084</v>
      </c>
      <c r="D28" s="33" t="s">
        <v>1085</v>
      </c>
      <c r="E28" s="10">
        <f>0</f>
        <v>0</v>
      </c>
      <c r="F28" s="10">
        <f>0</f>
        <v>0</v>
      </c>
      <c r="G28" s="10" t="s">
        <v>1136</v>
      </c>
      <c r="H28" s="10">
        <f>0</f>
        <v>0</v>
      </c>
    </row>
    <row r="29" spans="1:8" ht="73.5" customHeight="1" x14ac:dyDescent="0.2">
      <c r="A29" s="53"/>
      <c r="B29" s="52"/>
      <c r="C29" s="14" t="s">
        <v>1086</v>
      </c>
      <c r="D29" s="33" t="s">
        <v>1087</v>
      </c>
      <c r="E29" s="10">
        <f>0</f>
        <v>0</v>
      </c>
      <c r="F29" s="10">
        <f>0</f>
        <v>0</v>
      </c>
      <c r="G29" s="10" t="s">
        <v>1136</v>
      </c>
      <c r="H29" s="10">
        <f>0</f>
        <v>0</v>
      </c>
    </row>
    <row r="30" spans="1:8" ht="72" customHeight="1" x14ac:dyDescent="0.2">
      <c r="A30" s="53"/>
      <c r="B30" s="52"/>
      <c r="C30" s="14" t="s">
        <v>1088</v>
      </c>
      <c r="D30" s="33" t="s">
        <v>1089</v>
      </c>
      <c r="E30" s="10">
        <f>0</f>
        <v>0</v>
      </c>
      <c r="F30" s="10">
        <f>0</f>
        <v>0</v>
      </c>
      <c r="G30" s="10" t="s">
        <v>1136</v>
      </c>
      <c r="H30" s="10">
        <f>0</f>
        <v>0</v>
      </c>
    </row>
    <row r="31" spans="1:8" ht="47.25" customHeight="1" x14ac:dyDescent="0.2">
      <c r="A31" s="53"/>
      <c r="B31" s="52"/>
      <c r="C31" s="14" t="s">
        <v>1090</v>
      </c>
      <c r="D31" s="33" t="s">
        <v>1091</v>
      </c>
      <c r="E31" s="10">
        <f>10994.29+9365.51+2610.84</f>
        <v>22970.640000000003</v>
      </c>
      <c r="F31" s="10">
        <f>0</f>
        <v>0</v>
      </c>
      <c r="G31" s="10" t="s">
        <v>165</v>
      </c>
      <c r="H31" s="10">
        <f>0</f>
        <v>0</v>
      </c>
    </row>
    <row r="32" spans="1:8" ht="48.75" customHeight="1" x14ac:dyDescent="0.2">
      <c r="A32" s="53"/>
      <c r="B32" s="52"/>
      <c r="C32" s="14" t="s">
        <v>1092</v>
      </c>
      <c r="D32" s="33" t="s">
        <v>1093</v>
      </c>
      <c r="E32" s="10">
        <f>11971.71+10198.12+2842.96</f>
        <v>25012.79</v>
      </c>
      <c r="F32" s="10">
        <f>0</f>
        <v>0</v>
      </c>
      <c r="G32" s="10" t="s">
        <v>165</v>
      </c>
      <c r="H32" s="10">
        <f>0</f>
        <v>0</v>
      </c>
    </row>
    <row r="33" spans="1:8" ht="49.5" customHeight="1" x14ac:dyDescent="0.2">
      <c r="A33" s="53"/>
      <c r="B33" s="52"/>
      <c r="C33" s="14" t="s">
        <v>1094</v>
      </c>
      <c r="D33" s="33" t="s">
        <v>1095</v>
      </c>
      <c r="E33" s="10">
        <f>3121.46</f>
        <v>3121.46</v>
      </c>
      <c r="F33" s="10">
        <f>0</f>
        <v>0</v>
      </c>
      <c r="G33" s="10" t="s">
        <v>165</v>
      </c>
      <c r="H33" s="10">
        <f>0</f>
        <v>0</v>
      </c>
    </row>
    <row r="34" spans="1:8" ht="38.25" customHeight="1" x14ac:dyDescent="0.2">
      <c r="A34" s="53"/>
      <c r="B34" s="52"/>
      <c r="C34" s="14" t="s">
        <v>1096</v>
      </c>
      <c r="D34" s="33" t="s">
        <v>1097</v>
      </c>
      <c r="E34" s="10">
        <f>0</f>
        <v>0</v>
      </c>
      <c r="F34" s="10">
        <f>0</f>
        <v>0</v>
      </c>
      <c r="G34" s="10" t="s">
        <v>1136</v>
      </c>
      <c r="H34" s="10">
        <f>0</f>
        <v>0</v>
      </c>
    </row>
    <row r="35" spans="1:8" ht="36" customHeight="1" x14ac:dyDescent="0.2">
      <c r="A35" s="53"/>
      <c r="B35" s="52"/>
      <c r="C35" s="14" t="s">
        <v>1098</v>
      </c>
      <c r="D35" s="33" t="s">
        <v>1099</v>
      </c>
      <c r="E35" s="10">
        <f>0</f>
        <v>0</v>
      </c>
      <c r="F35" s="10">
        <f>0</f>
        <v>0</v>
      </c>
      <c r="G35" s="10" t="s">
        <v>1136</v>
      </c>
      <c r="H35" s="10">
        <f>0</f>
        <v>0</v>
      </c>
    </row>
    <row r="36" spans="1:8" ht="35.25" customHeight="1" x14ac:dyDescent="0.2">
      <c r="A36" s="53"/>
      <c r="B36" s="52"/>
      <c r="C36" s="14" t="s">
        <v>1100</v>
      </c>
      <c r="D36" s="33" t="s">
        <v>1099</v>
      </c>
      <c r="E36" s="10">
        <f>0</f>
        <v>0</v>
      </c>
      <c r="F36" s="10">
        <f>0</f>
        <v>0</v>
      </c>
      <c r="G36" s="10" t="s">
        <v>1136</v>
      </c>
      <c r="H36" s="10">
        <f>0</f>
        <v>0</v>
      </c>
    </row>
    <row r="37" spans="1:8" ht="27.75" customHeight="1" x14ac:dyDescent="0.2">
      <c r="A37" s="53"/>
      <c r="B37" s="52"/>
      <c r="C37" s="13" t="s">
        <v>11</v>
      </c>
      <c r="D37" s="32" t="s">
        <v>1101</v>
      </c>
      <c r="E37" s="17">
        <f>E38+E39+E40+E41+E42+E43+E44+E45+E46+E47+E48+E49</f>
        <v>123330</v>
      </c>
      <c r="F37" s="17">
        <f>F38+F39+F40+F41+F42+F43+F44+F45+F46+F47+F48+F49</f>
        <v>123155.63</v>
      </c>
      <c r="G37" s="10" t="s">
        <v>175</v>
      </c>
      <c r="H37" s="17">
        <f>H38+H39+H40+H41+H42+H43+H44+H45+H46+H47+H48+H49</f>
        <v>123155.63</v>
      </c>
    </row>
    <row r="38" spans="1:8" ht="36.75" customHeight="1" x14ac:dyDescent="0.2">
      <c r="A38" s="53"/>
      <c r="B38" s="52"/>
      <c r="C38" s="11" t="s">
        <v>178</v>
      </c>
      <c r="D38" s="33" t="s">
        <v>1102</v>
      </c>
      <c r="E38" s="10">
        <f>0</f>
        <v>0</v>
      </c>
      <c r="F38" s="10">
        <f>0</f>
        <v>0</v>
      </c>
      <c r="G38" s="10" t="s">
        <v>1136</v>
      </c>
      <c r="H38" s="10">
        <f>0</f>
        <v>0</v>
      </c>
    </row>
    <row r="39" spans="1:8" ht="35.25" customHeight="1" x14ac:dyDescent="0.2">
      <c r="A39" s="53"/>
      <c r="B39" s="52"/>
      <c r="C39" s="11" t="s">
        <v>187</v>
      </c>
      <c r="D39" s="33" t="s">
        <v>1103</v>
      </c>
      <c r="E39" s="10">
        <f>0</f>
        <v>0</v>
      </c>
      <c r="F39" s="10">
        <f>0</f>
        <v>0</v>
      </c>
      <c r="G39" s="10" t="s">
        <v>1136</v>
      </c>
      <c r="H39" s="10">
        <f>0</f>
        <v>0</v>
      </c>
    </row>
    <row r="40" spans="1:8" ht="39" customHeight="1" x14ac:dyDescent="0.2">
      <c r="A40" s="53"/>
      <c r="B40" s="52"/>
      <c r="C40" s="11" t="s">
        <v>202</v>
      </c>
      <c r="D40" s="33" t="s">
        <v>1104</v>
      </c>
      <c r="E40" s="10">
        <f>123000</f>
        <v>123000</v>
      </c>
      <c r="F40" s="10">
        <f>123000</f>
        <v>123000</v>
      </c>
      <c r="G40" s="10" t="s">
        <v>175</v>
      </c>
      <c r="H40" s="10">
        <f>123000</f>
        <v>123000</v>
      </c>
    </row>
    <row r="41" spans="1:8" ht="39.75" customHeight="1" x14ac:dyDescent="0.2">
      <c r="A41" s="53"/>
      <c r="B41" s="52"/>
      <c r="C41" s="11" t="s">
        <v>209</v>
      </c>
      <c r="D41" s="33" t="s">
        <v>1105</v>
      </c>
      <c r="E41" s="10">
        <f>0</f>
        <v>0</v>
      </c>
      <c r="F41" s="10">
        <f>0</f>
        <v>0</v>
      </c>
      <c r="G41" s="10" t="s">
        <v>1136</v>
      </c>
      <c r="H41" s="10">
        <f>0</f>
        <v>0</v>
      </c>
    </row>
    <row r="42" spans="1:8" ht="36.75" customHeight="1" x14ac:dyDescent="0.2">
      <c r="A42" s="53"/>
      <c r="B42" s="52"/>
      <c r="C42" s="11" t="s">
        <v>214</v>
      </c>
      <c r="D42" s="33" t="s">
        <v>1106</v>
      </c>
      <c r="E42" s="10">
        <f>0</f>
        <v>0</v>
      </c>
      <c r="F42" s="10">
        <f>0</f>
        <v>0</v>
      </c>
      <c r="G42" s="10" t="s">
        <v>1136</v>
      </c>
      <c r="H42" s="10">
        <f>0</f>
        <v>0</v>
      </c>
    </row>
    <row r="43" spans="1:8" ht="49.5" customHeight="1" x14ac:dyDescent="0.2">
      <c r="A43" s="53"/>
      <c r="B43" s="52"/>
      <c r="C43" s="11" t="s">
        <v>258</v>
      </c>
      <c r="D43" s="33" t="s">
        <v>1107</v>
      </c>
      <c r="E43" s="10">
        <f>0</f>
        <v>0</v>
      </c>
      <c r="F43" s="10">
        <f>0</f>
        <v>0</v>
      </c>
      <c r="G43" s="10" t="s">
        <v>1136</v>
      </c>
      <c r="H43" s="10">
        <f>0</f>
        <v>0</v>
      </c>
    </row>
    <row r="44" spans="1:8" ht="57.75" customHeight="1" x14ac:dyDescent="0.2">
      <c r="A44" s="53"/>
      <c r="B44" s="52"/>
      <c r="C44" s="11" t="s">
        <v>579</v>
      </c>
      <c r="D44" s="33" t="s">
        <v>1108</v>
      </c>
      <c r="E44" s="10">
        <f>0</f>
        <v>0</v>
      </c>
      <c r="F44" s="10">
        <f>0</f>
        <v>0</v>
      </c>
      <c r="G44" s="10" t="s">
        <v>1136</v>
      </c>
      <c r="H44" s="10">
        <f>0</f>
        <v>0</v>
      </c>
    </row>
    <row r="45" spans="1:8" ht="34.5" customHeight="1" x14ac:dyDescent="0.2">
      <c r="A45" s="53"/>
      <c r="B45" s="52"/>
      <c r="C45" s="11" t="s">
        <v>851</v>
      </c>
      <c r="D45" s="33" t="s">
        <v>1109</v>
      </c>
      <c r="E45" s="10">
        <f>0</f>
        <v>0</v>
      </c>
      <c r="F45" s="10">
        <f>0</f>
        <v>0</v>
      </c>
      <c r="G45" s="10" t="s">
        <v>1136</v>
      </c>
      <c r="H45" s="10">
        <f>0</f>
        <v>0</v>
      </c>
    </row>
    <row r="46" spans="1:8" ht="37.5" customHeight="1" x14ac:dyDescent="0.2">
      <c r="A46" s="53"/>
      <c r="B46" s="52"/>
      <c r="C46" s="11" t="s">
        <v>887</v>
      </c>
      <c r="D46" s="33" t="s">
        <v>1110</v>
      </c>
      <c r="E46" s="10">
        <f>0</f>
        <v>0</v>
      </c>
      <c r="F46" s="10">
        <f>0</f>
        <v>0</v>
      </c>
      <c r="G46" s="10" t="s">
        <v>1136</v>
      </c>
      <c r="H46" s="10">
        <f>0</f>
        <v>0</v>
      </c>
    </row>
    <row r="47" spans="1:8" ht="37.5" customHeight="1" x14ac:dyDescent="0.2">
      <c r="A47" s="53"/>
      <c r="B47" s="52"/>
      <c r="C47" s="11" t="s">
        <v>889</v>
      </c>
      <c r="D47" s="33" t="s">
        <v>1111</v>
      </c>
      <c r="E47" s="10">
        <f>0</f>
        <v>0</v>
      </c>
      <c r="F47" s="10">
        <f>0</f>
        <v>0</v>
      </c>
      <c r="G47" s="10" t="s">
        <v>1136</v>
      </c>
      <c r="H47" s="10">
        <f>0</f>
        <v>0</v>
      </c>
    </row>
    <row r="48" spans="1:8" ht="81" customHeight="1" x14ac:dyDescent="0.2">
      <c r="A48" s="53"/>
      <c r="B48" s="52"/>
      <c r="C48" s="11" t="s">
        <v>146</v>
      </c>
      <c r="D48" s="33" t="s">
        <v>1112</v>
      </c>
      <c r="E48" s="10">
        <f>330</f>
        <v>330</v>
      </c>
      <c r="F48" s="10">
        <f>155.63</f>
        <v>155.63</v>
      </c>
      <c r="G48" s="10" t="s">
        <v>1119</v>
      </c>
      <c r="H48" s="10">
        <f>155.63</f>
        <v>155.63</v>
      </c>
    </row>
    <row r="49" spans="1:8" ht="36" customHeight="1" x14ac:dyDescent="0.2">
      <c r="A49" s="53"/>
      <c r="B49" s="52"/>
      <c r="C49" s="11" t="s">
        <v>149</v>
      </c>
      <c r="D49" s="33" t="s">
        <v>1113</v>
      </c>
      <c r="E49" s="10">
        <f>0</f>
        <v>0</v>
      </c>
      <c r="F49" s="10">
        <f>0</f>
        <v>0</v>
      </c>
      <c r="G49" s="10" t="s">
        <v>1136</v>
      </c>
      <c r="H49" s="10">
        <f>0</f>
        <v>0</v>
      </c>
    </row>
    <row r="50" spans="1:8" ht="35.25" customHeight="1" x14ac:dyDescent="0.2">
      <c r="A50" s="53"/>
      <c r="B50" s="52"/>
      <c r="C50" s="13" t="s">
        <v>12</v>
      </c>
      <c r="D50" s="32" t="s">
        <v>1114</v>
      </c>
      <c r="E50" s="17">
        <f>E51</f>
        <v>0</v>
      </c>
      <c r="F50" s="17">
        <f>F51</f>
        <v>0</v>
      </c>
      <c r="G50" s="10" t="s">
        <v>1136</v>
      </c>
      <c r="H50" s="17">
        <f>H51</f>
        <v>0</v>
      </c>
    </row>
    <row r="51" spans="1:8" ht="47.25" customHeight="1" x14ac:dyDescent="0.2">
      <c r="A51" s="53"/>
      <c r="B51" s="52"/>
      <c r="C51" s="11" t="s">
        <v>178</v>
      </c>
      <c r="D51" s="33" t="s">
        <v>1115</v>
      </c>
      <c r="E51" s="10">
        <f>E52+E53+E54+E55+E56</f>
        <v>0</v>
      </c>
      <c r="F51" s="10">
        <f>F52+F53+F54+F55+F56</f>
        <v>0</v>
      </c>
      <c r="G51" s="10" t="s">
        <v>1136</v>
      </c>
      <c r="H51" s="10">
        <f>H52+H53+H54+H55+H56</f>
        <v>0</v>
      </c>
    </row>
    <row r="52" spans="1:8" ht="38.25" customHeight="1" x14ac:dyDescent="0.2">
      <c r="A52" s="53"/>
      <c r="B52" s="52"/>
      <c r="C52" s="14" t="s">
        <v>14</v>
      </c>
      <c r="D52" s="33" t="s">
        <v>1116</v>
      </c>
      <c r="E52" s="10">
        <f>0</f>
        <v>0</v>
      </c>
      <c r="F52" s="10">
        <f>0</f>
        <v>0</v>
      </c>
      <c r="G52" s="10" t="s">
        <v>1136</v>
      </c>
      <c r="H52" s="10">
        <f>0</f>
        <v>0</v>
      </c>
    </row>
    <row r="53" spans="1:8" ht="36.75" customHeight="1" x14ac:dyDescent="0.2">
      <c r="A53" s="53"/>
      <c r="B53" s="52"/>
      <c r="C53" s="14" t="s">
        <v>15</v>
      </c>
      <c r="D53" s="33" t="s">
        <v>1117</v>
      </c>
      <c r="E53" s="10">
        <f>0</f>
        <v>0</v>
      </c>
      <c r="F53" s="10">
        <f>0</f>
        <v>0</v>
      </c>
      <c r="G53" s="10" t="s">
        <v>1136</v>
      </c>
      <c r="H53" s="10">
        <f>0</f>
        <v>0</v>
      </c>
    </row>
    <row r="54" spans="1:8" ht="37.5" customHeight="1" x14ac:dyDescent="0.2">
      <c r="A54" s="53"/>
      <c r="B54" s="52"/>
      <c r="C54" s="14" t="s">
        <v>17</v>
      </c>
      <c r="D54" s="33" t="s">
        <v>1117</v>
      </c>
      <c r="E54" s="10">
        <f>0</f>
        <v>0</v>
      </c>
      <c r="F54" s="10">
        <f>0</f>
        <v>0</v>
      </c>
      <c r="G54" s="10" t="s">
        <v>1136</v>
      </c>
      <c r="H54" s="10">
        <f>0</f>
        <v>0</v>
      </c>
    </row>
    <row r="55" spans="1:8" ht="36.75" customHeight="1" x14ac:dyDescent="0.2">
      <c r="A55" s="53"/>
      <c r="B55" s="52"/>
      <c r="C55" s="14" t="s">
        <v>19</v>
      </c>
      <c r="D55" s="33" t="s">
        <v>1118</v>
      </c>
      <c r="E55" s="10">
        <f>0</f>
        <v>0</v>
      </c>
      <c r="F55" s="10">
        <f>0</f>
        <v>0</v>
      </c>
      <c r="G55" s="10" t="s">
        <v>1136</v>
      </c>
      <c r="H55" s="10">
        <f>0</f>
        <v>0</v>
      </c>
    </row>
    <row r="56" spans="1:8" ht="35.25" customHeight="1" x14ac:dyDescent="0.2">
      <c r="A56" s="53"/>
      <c r="B56" s="52"/>
      <c r="C56" s="14" t="s">
        <v>21</v>
      </c>
      <c r="D56" s="33" t="s">
        <v>1117</v>
      </c>
      <c r="E56" s="10">
        <f>0</f>
        <v>0</v>
      </c>
      <c r="F56" s="10">
        <f>0</f>
        <v>0</v>
      </c>
      <c r="G56" s="10" t="s">
        <v>1136</v>
      </c>
      <c r="H56" s="10">
        <f>0</f>
        <v>0</v>
      </c>
    </row>
    <row r="57" spans="1:8" ht="19.5" customHeight="1" x14ac:dyDescent="0.2">
      <c r="A57" s="53"/>
      <c r="B57" s="52"/>
      <c r="C57" s="54" t="s">
        <v>13</v>
      </c>
      <c r="D57" s="64"/>
      <c r="E57" s="21">
        <f>E8+E14+E37+E50</f>
        <v>181034.89</v>
      </c>
      <c r="F57" s="21">
        <f>F8+F14+F37+F50</f>
        <v>123155.63</v>
      </c>
      <c r="G57" s="10" t="s">
        <v>1120</v>
      </c>
      <c r="H57" s="21">
        <f>H8+H14+H37+H50</f>
        <v>123155.63</v>
      </c>
    </row>
    <row r="58" spans="1:8" ht="57.75" customHeight="1" x14ac:dyDescent="0.2">
      <c r="A58" s="47">
        <v>2</v>
      </c>
      <c r="B58" s="47" t="s">
        <v>163</v>
      </c>
      <c r="C58" s="16" t="s">
        <v>9</v>
      </c>
      <c r="D58" s="34" t="s">
        <v>1138</v>
      </c>
      <c r="E58" s="29">
        <f>E59+E60+E61+E62+E63+E64+E65+E66+E67+E68+E69+E70+E71+E72+E73+E74+E75+E76+E77+E78+E79+E80+E81+E82+E83</f>
        <v>9932</v>
      </c>
      <c r="F58" s="17">
        <f>F59+F60+F61+F62+F63+F64+F65+F66+F67+F68+F69+F70+F71+F72+F73+F74+F75+F76+F77+F78+F79+F80+F81+F82+F83</f>
        <v>3536.6499999999996</v>
      </c>
      <c r="G58" s="17" t="s">
        <v>949</v>
      </c>
      <c r="H58" s="17">
        <f>H59+H60+H61+H62+H63+H64+H65+H66+H67+H68+H69+H70+H71+H72+H73+H74+H75+H76+H77+H78+H79+H80+H81+H82+H83</f>
        <v>3536.6499999999996</v>
      </c>
    </row>
    <row r="59" spans="1:8" ht="36" x14ac:dyDescent="0.2">
      <c r="A59" s="47"/>
      <c r="B59" s="47"/>
      <c r="C59" s="18" t="s">
        <v>14</v>
      </c>
      <c r="D59" s="35" t="s">
        <v>1139</v>
      </c>
      <c r="E59" s="10">
        <f>60</f>
        <v>60</v>
      </c>
      <c r="F59" s="10">
        <f>0</f>
        <v>0</v>
      </c>
      <c r="G59" s="10" t="s">
        <v>165</v>
      </c>
      <c r="H59" s="10">
        <f>0</f>
        <v>0</v>
      </c>
    </row>
    <row r="60" spans="1:8" ht="72" x14ac:dyDescent="0.2">
      <c r="A60" s="47"/>
      <c r="B60" s="47"/>
      <c r="C60" s="18" t="s">
        <v>15</v>
      </c>
      <c r="D60" s="35" t="s">
        <v>16</v>
      </c>
      <c r="E60" s="10">
        <f>200</f>
        <v>200</v>
      </c>
      <c r="F60" s="10">
        <f>0</f>
        <v>0</v>
      </c>
      <c r="G60" s="10" t="s">
        <v>165</v>
      </c>
      <c r="H60" s="10">
        <f>0</f>
        <v>0</v>
      </c>
    </row>
    <row r="61" spans="1:8" ht="48" x14ac:dyDescent="0.2">
      <c r="A61" s="47"/>
      <c r="B61" s="47"/>
      <c r="C61" s="18" t="s">
        <v>17</v>
      </c>
      <c r="D61" s="35" t="s">
        <v>18</v>
      </c>
      <c r="E61" s="10">
        <f>23</f>
        <v>23</v>
      </c>
      <c r="F61" s="10">
        <f>0</f>
        <v>0</v>
      </c>
      <c r="G61" s="10" t="s">
        <v>165</v>
      </c>
      <c r="H61" s="10">
        <f>0</f>
        <v>0</v>
      </c>
    </row>
    <row r="62" spans="1:8" ht="36" x14ac:dyDescent="0.2">
      <c r="A62" s="47"/>
      <c r="B62" s="47"/>
      <c r="C62" s="18" t="s">
        <v>19</v>
      </c>
      <c r="D62" s="35" t="s">
        <v>20</v>
      </c>
      <c r="E62" s="10">
        <f>20</f>
        <v>20</v>
      </c>
      <c r="F62" s="10">
        <f>0</f>
        <v>0</v>
      </c>
      <c r="G62" s="10" t="s">
        <v>165</v>
      </c>
      <c r="H62" s="10">
        <f>0</f>
        <v>0</v>
      </c>
    </row>
    <row r="63" spans="1:8" ht="36" x14ac:dyDescent="0.2">
      <c r="A63" s="47"/>
      <c r="B63" s="47"/>
      <c r="C63" s="18" t="s">
        <v>21</v>
      </c>
      <c r="D63" s="35" t="s">
        <v>22</v>
      </c>
      <c r="E63" s="10">
        <f>20</f>
        <v>20</v>
      </c>
      <c r="F63" s="10">
        <f>0</f>
        <v>0</v>
      </c>
      <c r="G63" s="10" t="s">
        <v>165</v>
      </c>
      <c r="H63" s="10">
        <f>0</f>
        <v>0</v>
      </c>
    </row>
    <row r="64" spans="1:8" ht="48" x14ac:dyDescent="0.2">
      <c r="A64" s="47"/>
      <c r="B64" s="47"/>
      <c r="C64" s="18" t="s">
        <v>23</v>
      </c>
      <c r="D64" s="35" t="s">
        <v>24</v>
      </c>
      <c r="E64" s="10">
        <f>0</f>
        <v>0</v>
      </c>
      <c r="F64" s="10">
        <f>0</f>
        <v>0</v>
      </c>
      <c r="G64" s="10" t="s">
        <v>1136</v>
      </c>
      <c r="H64" s="10">
        <f>0</f>
        <v>0</v>
      </c>
    </row>
    <row r="65" spans="1:8" ht="48" x14ac:dyDescent="0.2">
      <c r="A65" s="47"/>
      <c r="B65" s="47"/>
      <c r="C65" s="18" t="s">
        <v>25</v>
      </c>
      <c r="D65" s="35" t="s">
        <v>26</v>
      </c>
      <c r="E65" s="10">
        <v>0</v>
      </c>
      <c r="F65" s="10">
        <f>0</f>
        <v>0</v>
      </c>
      <c r="G65" s="10" t="s">
        <v>1136</v>
      </c>
      <c r="H65" s="10">
        <f>0</f>
        <v>0</v>
      </c>
    </row>
    <row r="66" spans="1:8" ht="48" x14ac:dyDescent="0.2">
      <c r="A66" s="47"/>
      <c r="B66" s="47"/>
      <c r="C66" s="18" t="s">
        <v>27</v>
      </c>
      <c r="D66" s="35" t="s">
        <v>28</v>
      </c>
      <c r="E66" s="10">
        <f>0</f>
        <v>0</v>
      </c>
      <c r="F66" s="10">
        <f>0</f>
        <v>0</v>
      </c>
      <c r="G66" s="10" t="s">
        <v>1136</v>
      </c>
      <c r="H66" s="10">
        <f>0</f>
        <v>0</v>
      </c>
    </row>
    <row r="67" spans="1:8" ht="48" x14ac:dyDescent="0.2">
      <c r="A67" s="47"/>
      <c r="B67" s="47"/>
      <c r="C67" s="18" t="s">
        <v>29</v>
      </c>
      <c r="D67" s="35" t="s">
        <v>30</v>
      </c>
      <c r="E67" s="10">
        <f>0</f>
        <v>0</v>
      </c>
      <c r="F67" s="10">
        <f>0</f>
        <v>0</v>
      </c>
      <c r="G67" s="10" t="s">
        <v>1136</v>
      </c>
      <c r="H67" s="10">
        <f>0</f>
        <v>0</v>
      </c>
    </row>
    <row r="68" spans="1:8" ht="36" x14ac:dyDescent="0.2">
      <c r="A68" s="47"/>
      <c r="B68" s="47"/>
      <c r="C68" s="18" t="s">
        <v>31</v>
      </c>
      <c r="D68" s="35" t="s">
        <v>32</v>
      </c>
      <c r="E68" s="10">
        <f>50</f>
        <v>50</v>
      </c>
      <c r="F68" s="10">
        <f>0</f>
        <v>0</v>
      </c>
      <c r="G68" s="10" t="s">
        <v>165</v>
      </c>
      <c r="H68" s="10">
        <f>0</f>
        <v>0</v>
      </c>
    </row>
    <row r="69" spans="1:8" ht="36" x14ac:dyDescent="0.2">
      <c r="A69" s="47"/>
      <c r="B69" s="47"/>
      <c r="C69" s="18" t="s">
        <v>33</v>
      </c>
      <c r="D69" s="35" t="s">
        <v>34</v>
      </c>
      <c r="E69" s="10">
        <f>47</f>
        <v>47</v>
      </c>
      <c r="F69" s="10">
        <f>0</f>
        <v>0</v>
      </c>
      <c r="G69" s="10" t="s">
        <v>165</v>
      </c>
      <c r="H69" s="10">
        <f>0</f>
        <v>0</v>
      </c>
    </row>
    <row r="70" spans="1:8" ht="36" x14ac:dyDescent="0.2">
      <c r="A70" s="47"/>
      <c r="B70" s="47"/>
      <c r="C70" s="18" t="s">
        <v>35</v>
      </c>
      <c r="D70" s="35" t="s">
        <v>36</v>
      </c>
      <c r="E70" s="10">
        <f>100</f>
        <v>100</v>
      </c>
      <c r="F70" s="10">
        <f>0</f>
        <v>0</v>
      </c>
      <c r="G70" s="10" t="s">
        <v>165</v>
      </c>
      <c r="H70" s="10">
        <f>0</f>
        <v>0</v>
      </c>
    </row>
    <row r="71" spans="1:8" ht="36" x14ac:dyDescent="0.2">
      <c r="A71" s="47"/>
      <c r="B71" s="47"/>
      <c r="C71" s="18" t="s">
        <v>37</v>
      </c>
      <c r="D71" s="35" t="s">
        <v>38</v>
      </c>
      <c r="E71" s="10">
        <f>150</f>
        <v>150</v>
      </c>
      <c r="F71" s="10">
        <f>0</f>
        <v>0</v>
      </c>
      <c r="G71" s="10" t="s">
        <v>165</v>
      </c>
      <c r="H71" s="10">
        <f>0</f>
        <v>0</v>
      </c>
    </row>
    <row r="72" spans="1:8" ht="36" x14ac:dyDescent="0.2">
      <c r="A72" s="47"/>
      <c r="B72" s="47"/>
      <c r="C72" s="18" t="s">
        <v>39</v>
      </c>
      <c r="D72" s="35" t="s">
        <v>40</v>
      </c>
      <c r="E72" s="10">
        <f>20</f>
        <v>20</v>
      </c>
      <c r="F72" s="10">
        <f>0</f>
        <v>0</v>
      </c>
      <c r="G72" s="10" t="s">
        <v>165</v>
      </c>
      <c r="H72" s="10">
        <f>0</f>
        <v>0</v>
      </c>
    </row>
    <row r="73" spans="1:8" ht="36" x14ac:dyDescent="0.2">
      <c r="A73" s="47"/>
      <c r="B73" s="47"/>
      <c r="C73" s="18" t="s">
        <v>41</v>
      </c>
      <c r="D73" s="35" t="s">
        <v>42</v>
      </c>
      <c r="E73" s="10">
        <f>20</f>
        <v>20</v>
      </c>
      <c r="F73" s="10">
        <f>0</f>
        <v>0</v>
      </c>
      <c r="G73" s="10" t="s">
        <v>165</v>
      </c>
      <c r="H73" s="10">
        <f>0</f>
        <v>0</v>
      </c>
    </row>
    <row r="74" spans="1:8" ht="48" x14ac:dyDescent="0.2">
      <c r="A74" s="47"/>
      <c r="B74" s="47"/>
      <c r="C74" s="18" t="s">
        <v>43</v>
      </c>
      <c r="D74" s="35" t="s">
        <v>44</v>
      </c>
      <c r="E74" s="10">
        <f>3574</f>
        <v>3574</v>
      </c>
      <c r="F74" s="10">
        <f>0</f>
        <v>0</v>
      </c>
      <c r="G74" s="10" t="s">
        <v>165</v>
      </c>
      <c r="H74" s="10">
        <f>0</f>
        <v>0</v>
      </c>
    </row>
    <row r="75" spans="1:8" ht="36" x14ac:dyDescent="0.2">
      <c r="A75" s="47"/>
      <c r="B75" s="47"/>
      <c r="C75" s="18" t="s">
        <v>45</v>
      </c>
      <c r="D75" s="35" t="s">
        <v>46</v>
      </c>
      <c r="E75" s="10">
        <f>100</f>
        <v>100</v>
      </c>
      <c r="F75" s="10">
        <f>0</f>
        <v>0</v>
      </c>
      <c r="G75" s="10" t="s">
        <v>165</v>
      </c>
      <c r="H75" s="10">
        <f>0</f>
        <v>0</v>
      </c>
    </row>
    <row r="76" spans="1:8" ht="36" x14ac:dyDescent="0.2">
      <c r="A76" s="47"/>
      <c r="B76" s="47"/>
      <c r="C76" s="18" t="s">
        <v>47</v>
      </c>
      <c r="D76" s="35" t="s">
        <v>48</v>
      </c>
      <c r="E76" s="10">
        <f>20</f>
        <v>20</v>
      </c>
      <c r="F76" s="10">
        <f>0</f>
        <v>0</v>
      </c>
      <c r="G76" s="10" t="s">
        <v>165</v>
      </c>
      <c r="H76" s="10">
        <f>0</f>
        <v>0</v>
      </c>
    </row>
    <row r="77" spans="1:8" ht="48" x14ac:dyDescent="0.2">
      <c r="A77" s="47"/>
      <c r="B77" s="47"/>
      <c r="C77" s="18" t="s">
        <v>49</v>
      </c>
      <c r="D77" s="35" t="s">
        <v>50</v>
      </c>
      <c r="E77" s="10">
        <f>1635</f>
        <v>1635</v>
      </c>
      <c r="F77" s="10">
        <f>997.3</f>
        <v>997.3</v>
      </c>
      <c r="G77" s="10" t="s">
        <v>1140</v>
      </c>
      <c r="H77" s="10">
        <f>997.3</f>
        <v>997.3</v>
      </c>
    </row>
    <row r="78" spans="1:8" ht="36" x14ac:dyDescent="0.2">
      <c r="A78" s="47"/>
      <c r="B78" s="47"/>
      <c r="C78" s="18" t="s">
        <v>51</v>
      </c>
      <c r="D78" s="35" t="s">
        <v>52</v>
      </c>
      <c r="E78" s="10">
        <f>100</f>
        <v>100</v>
      </c>
      <c r="F78" s="10">
        <f>0</f>
        <v>0</v>
      </c>
      <c r="G78" s="10" t="s">
        <v>165</v>
      </c>
      <c r="H78" s="10">
        <f>0</f>
        <v>0</v>
      </c>
    </row>
    <row r="79" spans="1:8" ht="36" x14ac:dyDescent="0.2">
      <c r="A79" s="47"/>
      <c r="B79" s="47"/>
      <c r="C79" s="18" t="s">
        <v>53</v>
      </c>
      <c r="D79" s="35" t="s">
        <v>54</v>
      </c>
      <c r="E79" s="10">
        <f>1200</f>
        <v>1200</v>
      </c>
      <c r="F79" s="10">
        <f>1168.8</f>
        <v>1168.8</v>
      </c>
      <c r="G79" s="10" t="s">
        <v>1141</v>
      </c>
      <c r="H79" s="10">
        <f>1168.8</f>
        <v>1168.8</v>
      </c>
    </row>
    <row r="80" spans="1:8" ht="72" x14ac:dyDescent="0.2">
      <c r="A80" s="47"/>
      <c r="B80" s="47"/>
      <c r="C80" s="18" t="s">
        <v>55</v>
      </c>
      <c r="D80" s="35" t="s">
        <v>56</v>
      </c>
      <c r="E80" s="10">
        <f>1963</f>
        <v>1963</v>
      </c>
      <c r="F80" s="10">
        <f>1135.3</f>
        <v>1135.3</v>
      </c>
      <c r="G80" s="10" t="s">
        <v>1142</v>
      </c>
      <c r="H80" s="10">
        <f>1135.3</f>
        <v>1135.3</v>
      </c>
    </row>
    <row r="81" spans="1:9" ht="36" x14ac:dyDescent="0.2">
      <c r="A81" s="47"/>
      <c r="B81" s="47"/>
      <c r="C81" s="18" t="s">
        <v>57</v>
      </c>
      <c r="D81" s="35" t="s">
        <v>58</v>
      </c>
      <c r="E81" s="10">
        <f>180</f>
        <v>180</v>
      </c>
      <c r="F81" s="10">
        <f>0</f>
        <v>0</v>
      </c>
      <c r="G81" s="10" t="s">
        <v>165</v>
      </c>
      <c r="H81" s="10">
        <f>0</f>
        <v>0</v>
      </c>
    </row>
    <row r="82" spans="1:9" ht="48" x14ac:dyDescent="0.2">
      <c r="A82" s="47"/>
      <c r="B82" s="47"/>
      <c r="C82" s="18" t="s">
        <v>59</v>
      </c>
      <c r="D82" s="35" t="s">
        <v>60</v>
      </c>
      <c r="E82" s="10">
        <f>0</f>
        <v>0</v>
      </c>
      <c r="F82" s="10">
        <f>0</f>
        <v>0</v>
      </c>
      <c r="G82" s="10" t="s">
        <v>1136</v>
      </c>
      <c r="H82" s="10">
        <f>0</f>
        <v>0</v>
      </c>
    </row>
    <row r="83" spans="1:9" ht="48" x14ac:dyDescent="0.2">
      <c r="A83" s="47"/>
      <c r="B83" s="47"/>
      <c r="C83" s="18" t="s">
        <v>61</v>
      </c>
      <c r="D83" s="35" t="s">
        <v>62</v>
      </c>
      <c r="E83" s="10">
        <f>450</f>
        <v>450</v>
      </c>
      <c r="F83" s="10">
        <f>235.25</f>
        <v>235.25</v>
      </c>
      <c r="G83" s="10" t="s">
        <v>1143</v>
      </c>
      <c r="H83" s="10">
        <f>235.25</f>
        <v>235.25</v>
      </c>
    </row>
    <row r="84" spans="1:9" ht="48" x14ac:dyDescent="0.2">
      <c r="A84" s="47"/>
      <c r="B84" s="47"/>
      <c r="C84" s="15" t="s">
        <v>10</v>
      </c>
      <c r="D84" s="36" t="s">
        <v>166</v>
      </c>
      <c r="E84" s="29">
        <f>E85+E86+E87+E88+E89+E93+E98+E99+E100+E101+E102+E103+E104</f>
        <v>90025.459999999992</v>
      </c>
      <c r="F84" s="17">
        <f>F85+F86+F87+F88+F89+F93+F98+F99+F100+F101+F102+F103+F104</f>
        <v>548.45000000000005</v>
      </c>
      <c r="G84" s="17" t="s">
        <v>950</v>
      </c>
      <c r="H84" s="17">
        <f>H85+H86+H87+H88+H89+H93+H98+H99+H100+H101+H102+H103+H104</f>
        <v>548.45000000000005</v>
      </c>
      <c r="I84" s="19"/>
    </row>
    <row r="85" spans="1:9" ht="36" x14ac:dyDescent="0.2">
      <c r="A85" s="47"/>
      <c r="B85" s="47"/>
      <c r="C85" s="18" t="s">
        <v>14</v>
      </c>
      <c r="D85" s="35" t="s">
        <v>63</v>
      </c>
      <c r="E85" s="10">
        <f>600</f>
        <v>600</v>
      </c>
      <c r="F85" s="10">
        <f>38.45</f>
        <v>38.450000000000003</v>
      </c>
      <c r="G85" s="10" t="s">
        <v>167</v>
      </c>
      <c r="H85" s="10">
        <f>38.45</f>
        <v>38.450000000000003</v>
      </c>
    </row>
    <row r="86" spans="1:9" ht="36" x14ac:dyDescent="0.2">
      <c r="A86" s="47"/>
      <c r="B86" s="47"/>
      <c r="C86" s="18" t="s">
        <v>15</v>
      </c>
      <c r="D86" s="35" t="s">
        <v>64</v>
      </c>
      <c r="E86" s="10">
        <f>4715.46</f>
        <v>4715.46</v>
      </c>
      <c r="F86" s="10">
        <f>0</f>
        <v>0</v>
      </c>
      <c r="G86" s="10" t="s">
        <v>165</v>
      </c>
      <c r="H86" s="10">
        <f>0</f>
        <v>0</v>
      </c>
    </row>
    <row r="87" spans="1:9" ht="36" x14ac:dyDescent="0.2">
      <c r="A87" s="47"/>
      <c r="B87" s="47"/>
      <c r="C87" s="18" t="s">
        <v>17</v>
      </c>
      <c r="D87" s="35" t="s">
        <v>65</v>
      </c>
      <c r="E87" s="10">
        <f>50000</f>
        <v>50000</v>
      </c>
      <c r="F87" s="10">
        <f>0</f>
        <v>0</v>
      </c>
      <c r="G87" s="10" t="s">
        <v>1144</v>
      </c>
      <c r="H87" s="10">
        <f>0</f>
        <v>0</v>
      </c>
    </row>
    <row r="88" spans="1:9" ht="36" x14ac:dyDescent="0.2">
      <c r="A88" s="47"/>
      <c r="B88" s="47"/>
      <c r="C88" s="18" t="s">
        <v>19</v>
      </c>
      <c r="D88" s="35" t="s">
        <v>66</v>
      </c>
      <c r="E88" s="10">
        <f>7200</f>
        <v>7200</v>
      </c>
      <c r="F88" s="10">
        <f>0</f>
        <v>0</v>
      </c>
      <c r="G88" s="10" t="s">
        <v>1144</v>
      </c>
      <c r="H88" s="10">
        <f>0</f>
        <v>0</v>
      </c>
    </row>
    <row r="89" spans="1:9" ht="48" x14ac:dyDescent="0.2">
      <c r="A89" s="47"/>
      <c r="B89" s="47"/>
      <c r="C89" s="18" t="s">
        <v>21</v>
      </c>
      <c r="D89" s="35" t="s">
        <v>67</v>
      </c>
      <c r="E89" s="10">
        <f>E90+E91+E92</f>
        <v>0</v>
      </c>
      <c r="F89" s="10">
        <f>F90+F91+F92</f>
        <v>0</v>
      </c>
      <c r="G89" s="10" t="s">
        <v>1136</v>
      </c>
      <c r="H89" s="10">
        <f>H90+H91+H92</f>
        <v>0</v>
      </c>
    </row>
    <row r="90" spans="1:9" ht="48" x14ac:dyDescent="0.2">
      <c r="A90" s="47"/>
      <c r="B90" s="47"/>
      <c r="C90" s="20" t="s">
        <v>68</v>
      </c>
      <c r="D90" s="35" t="s">
        <v>69</v>
      </c>
      <c r="E90" s="10">
        <f>0</f>
        <v>0</v>
      </c>
      <c r="F90" s="10">
        <f>0</f>
        <v>0</v>
      </c>
      <c r="G90" s="10" t="s">
        <v>1136</v>
      </c>
      <c r="H90" s="10">
        <f>0</f>
        <v>0</v>
      </c>
    </row>
    <row r="91" spans="1:9" ht="48" x14ac:dyDescent="0.2">
      <c r="A91" s="47"/>
      <c r="B91" s="47"/>
      <c r="C91" s="20" t="s">
        <v>70</v>
      </c>
      <c r="D91" s="35" t="s">
        <v>71</v>
      </c>
      <c r="E91" s="10">
        <f>0</f>
        <v>0</v>
      </c>
      <c r="F91" s="10">
        <f>0</f>
        <v>0</v>
      </c>
      <c r="G91" s="10" t="s">
        <v>1136</v>
      </c>
      <c r="H91" s="10">
        <f>0</f>
        <v>0</v>
      </c>
    </row>
    <row r="92" spans="1:9" ht="48" x14ac:dyDescent="0.2">
      <c r="A92" s="47"/>
      <c r="B92" s="47"/>
      <c r="C92" s="20" t="s">
        <v>72</v>
      </c>
      <c r="D92" s="35" t="s">
        <v>73</v>
      </c>
      <c r="E92" s="10">
        <f>0</f>
        <v>0</v>
      </c>
      <c r="F92" s="10">
        <f>0</f>
        <v>0</v>
      </c>
      <c r="G92" s="10" t="s">
        <v>1136</v>
      </c>
      <c r="H92" s="10">
        <f>0</f>
        <v>0</v>
      </c>
    </row>
    <row r="93" spans="1:9" ht="48" x14ac:dyDescent="0.2">
      <c r="A93" s="47"/>
      <c r="B93" s="47"/>
      <c r="C93" s="18" t="s">
        <v>23</v>
      </c>
      <c r="D93" s="35" t="s">
        <v>74</v>
      </c>
      <c r="E93" s="10">
        <f>E94+E95+E96+E97</f>
        <v>0</v>
      </c>
      <c r="F93" s="10">
        <f>F94+F95+F96+F97</f>
        <v>0</v>
      </c>
      <c r="G93" s="10" t="s">
        <v>1136</v>
      </c>
      <c r="H93" s="10">
        <f>H94+H95+H96+H97</f>
        <v>0</v>
      </c>
    </row>
    <row r="94" spans="1:9" ht="48" x14ac:dyDescent="0.2">
      <c r="A94" s="47"/>
      <c r="B94" s="47"/>
      <c r="C94" s="20" t="s">
        <v>75</v>
      </c>
      <c r="D94" s="35" t="s">
        <v>76</v>
      </c>
      <c r="E94" s="10">
        <f>0</f>
        <v>0</v>
      </c>
      <c r="F94" s="10">
        <f>0</f>
        <v>0</v>
      </c>
      <c r="G94" s="10" t="s">
        <v>1136</v>
      </c>
      <c r="H94" s="10">
        <f>0</f>
        <v>0</v>
      </c>
    </row>
    <row r="95" spans="1:9" ht="48" x14ac:dyDescent="0.2">
      <c r="A95" s="47"/>
      <c r="B95" s="47"/>
      <c r="C95" s="20" t="s">
        <v>77</v>
      </c>
      <c r="D95" s="35" t="s">
        <v>78</v>
      </c>
      <c r="E95" s="10">
        <f>0</f>
        <v>0</v>
      </c>
      <c r="F95" s="10">
        <f>0</f>
        <v>0</v>
      </c>
      <c r="G95" s="10" t="s">
        <v>1136</v>
      </c>
      <c r="H95" s="10">
        <f>0</f>
        <v>0</v>
      </c>
    </row>
    <row r="96" spans="1:9" ht="48" x14ac:dyDescent="0.2">
      <c r="A96" s="47"/>
      <c r="B96" s="47"/>
      <c r="C96" s="20" t="s">
        <v>79</v>
      </c>
      <c r="D96" s="35" t="s">
        <v>80</v>
      </c>
      <c r="E96" s="10">
        <f>0</f>
        <v>0</v>
      </c>
      <c r="F96" s="10">
        <f>0</f>
        <v>0</v>
      </c>
      <c r="G96" s="10" t="s">
        <v>1136</v>
      </c>
      <c r="H96" s="10">
        <f>0</f>
        <v>0</v>
      </c>
    </row>
    <row r="97" spans="1:9" ht="48" x14ac:dyDescent="0.2">
      <c r="A97" s="47"/>
      <c r="B97" s="47"/>
      <c r="C97" s="20" t="s">
        <v>81</v>
      </c>
      <c r="D97" s="35" t="s">
        <v>82</v>
      </c>
      <c r="E97" s="10">
        <f>0</f>
        <v>0</v>
      </c>
      <c r="F97" s="10">
        <f>0</f>
        <v>0</v>
      </c>
      <c r="G97" s="10" t="s">
        <v>1136</v>
      </c>
      <c r="H97" s="10">
        <f>0</f>
        <v>0</v>
      </c>
    </row>
    <row r="98" spans="1:9" ht="48" x14ac:dyDescent="0.2">
      <c r="A98" s="47"/>
      <c r="B98" s="47"/>
      <c r="C98" s="18" t="s">
        <v>25</v>
      </c>
      <c r="D98" s="35" t="s">
        <v>83</v>
      </c>
      <c r="E98" s="10">
        <f>0</f>
        <v>0</v>
      </c>
      <c r="F98" s="10">
        <f>0</f>
        <v>0</v>
      </c>
      <c r="G98" s="10" t="s">
        <v>1136</v>
      </c>
      <c r="H98" s="10">
        <f>0</f>
        <v>0</v>
      </c>
    </row>
    <row r="99" spans="1:9" ht="48" x14ac:dyDescent="0.2">
      <c r="A99" s="47"/>
      <c r="B99" s="47"/>
      <c r="C99" s="18" t="s">
        <v>27</v>
      </c>
      <c r="D99" s="35" t="s">
        <v>84</v>
      </c>
      <c r="E99" s="10">
        <f>0</f>
        <v>0</v>
      </c>
      <c r="F99" s="10">
        <f>0</f>
        <v>0</v>
      </c>
      <c r="G99" s="10" t="s">
        <v>1136</v>
      </c>
      <c r="H99" s="10">
        <f>0</f>
        <v>0</v>
      </c>
    </row>
    <row r="100" spans="1:9" ht="48" x14ac:dyDescent="0.2">
      <c r="A100" s="47"/>
      <c r="B100" s="47"/>
      <c r="C100" s="18" t="s">
        <v>29</v>
      </c>
      <c r="D100" s="35" t="s">
        <v>147</v>
      </c>
      <c r="E100" s="10">
        <f>0</f>
        <v>0</v>
      </c>
      <c r="F100" s="10">
        <f>0</f>
        <v>0</v>
      </c>
      <c r="G100" s="10" t="s">
        <v>1136</v>
      </c>
      <c r="H100" s="10">
        <f>0</f>
        <v>0</v>
      </c>
    </row>
    <row r="101" spans="1:9" ht="48" x14ac:dyDescent="0.2">
      <c r="A101" s="47"/>
      <c r="B101" s="47"/>
      <c r="C101" s="18" t="s">
        <v>31</v>
      </c>
      <c r="D101" s="35" t="s">
        <v>148</v>
      </c>
      <c r="E101" s="10">
        <f>0</f>
        <v>0</v>
      </c>
      <c r="F101" s="10">
        <f>0</f>
        <v>0</v>
      </c>
      <c r="G101" s="10" t="s">
        <v>1136</v>
      </c>
      <c r="H101" s="10">
        <f>0</f>
        <v>0</v>
      </c>
    </row>
    <row r="102" spans="1:9" ht="36" x14ac:dyDescent="0.2">
      <c r="A102" s="47"/>
      <c r="B102" s="47"/>
      <c r="C102" s="18" t="s">
        <v>146</v>
      </c>
      <c r="D102" s="35" t="s">
        <v>169</v>
      </c>
      <c r="E102" s="10">
        <f>11730+3270</f>
        <v>15000</v>
      </c>
      <c r="F102" s="10">
        <f>0</f>
        <v>0</v>
      </c>
      <c r="G102" s="10" t="s">
        <v>165</v>
      </c>
      <c r="H102" s="10">
        <f>0</f>
        <v>0</v>
      </c>
    </row>
    <row r="103" spans="1:9" ht="48" x14ac:dyDescent="0.2">
      <c r="A103" s="47"/>
      <c r="B103" s="47"/>
      <c r="C103" s="18" t="s">
        <v>149</v>
      </c>
      <c r="D103" s="35" t="s">
        <v>170</v>
      </c>
      <c r="E103" s="10">
        <f>510</f>
        <v>510</v>
      </c>
      <c r="F103" s="10">
        <f>510</f>
        <v>510</v>
      </c>
      <c r="G103" s="10" t="s">
        <v>175</v>
      </c>
      <c r="H103" s="10">
        <f>510</f>
        <v>510</v>
      </c>
    </row>
    <row r="104" spans="1:9" ht="48" x14ac:dyDescent="0.2">
      <c r="A104" s="47"/>
      <c r="B104" s="47"/>
      <c r="C104" s="18" t="s">
        <v>150</v>
      </c>
      <c r="D104" s="35" t="s">
        <v>171</v>
      </c>
      <c r="E104" s="10">
        <f>12000</f>
        <v>12000</v>
      </c>
      <c r="F104" s="10">
        <f>0</f>
        <v>0</v>
      </c>
      <c r="G104" s="10" t="s">
        <v>165</v>
      </c>
      <c r="H104" s="10">
        <f>0</f>
        <v>0</v>
      </c>
    </row>
    <row r="105" spans="1:9" ht="49.5" customHeight="1" x14ac:dyDescent="0.2">
      <c r="A105" s="47"/>
      <c r="B105" s="47"/>
      <c r="C105" s="15" t="s">
        <v>11</v>
      </c>
      <c r="D105" s="36" t="s">
        <v>85</v>
      </c>
      <c r="E105" s="29">
        <f>E106+E107+E108+E111</f>
        <v>55430.8</v>
      </c>
      <c r="F105" s="29">
        <f>F106+F107+F108+F111</f>
        <v>25725.18</v>
      </c>
      <c r="G105" s="29" t="s">
        <v>1145</v>
      </c>
      <c r="H105" s="29">
        <f>H106+H107+H108+H111</f>
        <v>25725.18</v>
      </c>
    </row>
    <row r="106" spans="1:9" ht="36" x14ac:dyDescent="0.2">
      <c r="A106" s="47"/>
      <c r="B106" s="47"/>
      <c r="C106" s="18" t="s">
        <v>14</v>
      </c>
      <c r="D106" s="35" t="s">
        <v>86</v>
      </c>
      <c r="E106" s="10">
        <f>5012.4</f>
        <v>5012.3999999999996</v>
      </c>
      <c r="F106" s="10">
        <f>1981.9</f>
        <v>1981.9</v>
      </c>
      <c r="G106" s="10" t="s">
        <v>172</v>
      </c>
      <c r="H106" s="10">
        <f>1981.9</f>
        <v>1981.9</v>
      </c>
    </row>
    <row r="107" spans="1:9" ht="36" x14ac:dyDescent="0.2">
      <c r="A107" s="47"/>
      <c r="B107" s="47"/>
      <c r="C107" s="18" t="s">
        <v>15</v>
      </c>
      <c r="D107" s="35" t="s">
        <v>87</v>
      </c>
      <c r="E107" s="10">
        <f>16781.4+8300</f>
        <v>25081.4</v>
      </c>
      <c r="F107" s="10">
        <f>7559.6+3620.01</f>
        <v>11179.61</v>
      </c>
      <c r="G107" s="10" t="s">
        <v>951</v>
      </c>
      <c r="H107" s="10">
        <f>7559.6+3620.01</f>
        <v>11179.61</v>
      </c>
    </row>
    <row r="108" spans="1:9" ht="36" x14ac:dyDescent="0.2">
      <c r="A108" s="47"/>
      <c r="B108" s="47"/>
      <c r="C108" s="18" t="s">
        <v>17</v>
      </c>
      <c r="D108" s="35" t="s">
        <v>88</v>
      </c>
      <c r="E108" s="10">
        <f>E109+E110</f>
        <v>10451</v>
      </c>
      <c r="F108" s="10">
        <f>F109+F110</f>
        <v>4870.17</v>
      </c>
      <c r="G108" s="10" t="s">
        <v>1146</v>
      </c>
      <c r="H108" s="10">
        <f>H109+H110</f>
        <v>4870.17</v>
      </c>
    </row>
    <row r="109" spans="1:9" ht="48" x14ac:dyDescent="0.2">
      <c r="A109" s="47"/>
      <c r="B109" s="47"/>
      <c r="C109" s="20" t="s">
        <v>89</v>
      </c>
      <c r="D109" s="35" t="s">
        <v>90</v>
      </c>
      <c r="E109" s="10">
        <f>0</f>
        <v>0</v>
      </c>
      <c r="F109" s="10">
        <f>0</f>
        <v>0</v>
      </c>
      <c r="G109" s="10" t="s">
        <v>1136</v>
      </c>
      <c r="H109" s="10">
        <f>0</f>
        <v>0</v>
      </c>
    </row>
    <row r="110" spans="1:9" ht="36" x14ac:dyDescent="0.2">
      <c r="A110" s="47"/>
      <c r="B110" s="47"/>
      <c r="C110" s="20" t="s">
        <v>91</v>
      </c>
      <c r="D110" s="35" t="s">
        <v>92</v>
      </c>
      <c r="E110" s="10">
        <f>10451</f>
        <v>10451</v>
      </c>
      <c r="F110" s="10">
        <f>4870.17</f>
        <v>4870.17</v>
      </c>
      <c r="G110" s="10" t="s">
        <v>173</v>
      </c>
      <c r="H110" s="10">
        <f>4870.17</f>
        <v>4870.17</v>
      </c>
    </row>
    <row r="111" spans="1:9" ht="36" x14ac:dyDescent="0.2">
      <c r="A111" s="47"/>
      <c r="B111" s="47"/>
      <c r="C111" s="18" t="s">
        <v>19</v>
      </c>
      <c r="D111" s="35" t="s">
        <v>93</v>
      </c>
      <c r="E111" s="10">
        <f>11886+3000</f>
        <v>14886</v>
      </c>
      <c r="F111" s="10">
        <f>5933.5+1760</f>
        <v>7693.5</v>
      </c>
      <c r="G111" s="10" t="s">
        <v>952</v>
      </c>
      <c r="H111" s="10">
        <f>5933.5+1760</f>
        <v>7693.5</v>
      </c>
    </row>
    <row r="112" spans="1:9" ht="45.75" customHeight="1" x14ac:dyDescent="0.2">
      <c r="A112" s="47"/>
      <c r="B112" s="47"/>
      <c r="C112" s="15" t="s">
        <v>12</v>
      </c>
      <c r="D112" s="34" t="s">
        <v>94</v>
      </c>
      <c r="E112" s="29">
        <f>E113+E114+E115+E116+E119+E123+E127</f>
        <v>16815.129999999997</v>
      </c>
      <c r="F112" s="29">
        <f>F113+F114+F115+F116+F119+F123+F127</f>
        <v>7807.88</v>
      </c>
      <c r="G112" s="29" t="s">
        <v>1145</v>
      </c>
      <c r="H112" s="29">
        <f>H113+H114+H115+H116+H119+H123+H127</f>
        <v>7807.88</v>
      </c>
      <c r="I112" s="19"/>
    </row>
    <row r="113" spans="1:8" ht="36" x14ac:dyDescent="0.2">
      <c r="A113" s="47"/>
      <c r="B113" s="47"/>
      <c r="C113" s="18" t="s">
        <v>14</v>
      </c>
      <c r="D113" s="35" t="s">
        <v>95</v>
      </c>
      <c r="E113" s="10">
        <f>14549.8+920</f>
        <v>15469.8</v>
      </c>
      <c r="F113" s="10">
        <f>7229.78+320</f>
        <v>7549.78</v>
      </c>
      <c r="G113" s="10" t="s">
        <v>953</v>
      </c>
      <c r="H113" s="10">
        <f>7229.78+320</f>
        <v>7549.78</v>
      </c>
    </row>
    <row r="114" spans="1:8" ht="36" x14ac:dyDescent="0.2">
      <c r="A114" s="47"/>
      <c r="B114" s="47"/>
      <c r="C114" s="18" t="s">
        <v>15</v>
      </c>
      <c r="D114" s="35" t="s">
        <v>96</v>
      </c>
      <c r="E114" s="10">
        <f>200</f>
        <v>200</v>
      </c>
      <c r="F114" s="10">
        <f>0</f>
        <v>0</v>
      </c>
      <c r="G114" s="10" t="s">
        <v>165</v>
      </c>
      <c r="H114" s="10">
        <f>0</f>
        <v>0</v>
      </c>
    </row>
    <row r="115" spans="1:8" ht="48" x14ac:dyDescent="0.2">
      <c r="A115" s="47"/>
      <c r="B115" s="47"/>
      <c r="C115" s="18" t="s">
        <v>17</v>
      </c>
      <c r="D115" s="35" t="s">
        <v>97</v>
      </c>
      <c r="E115" s="10">
        <f>0</f>
        <v>0</v>
      </c>
      <c r="F115" s="10">
        <f>0</f>
        <v>0</v>
      </c>
      <c r="G115" s="10" t="s">
        <v>1136</v>
      </c>
      <c r="H115" s="10">
        <f>0</f>
        <v>0</v>
      </c>
    </row>
    <row r="116" spans="1:8" ht="36" x14ac:dyDescent="0.2">
      <c r="A116" s="47"/>
      <c r="B116" s="47"/>
      <c r="C116" s="18" t="s">
        <v>98</v>
      </c>
      <c r="D116" s="35" t="s">
        <v>99</v>
      </c>
      <c r="E116" s="10">
        <f>E117+E118</f>
        <v>541.32999999999993</v>
      </c>
      <c r="F116" s="10">
        <f>F117+F118</f>
        <v>0</v>
      </c>
      <c r="G116" s="10" t="s">
        <v>165</v>
      </c>
      <c r="H116" s="10">
        <f>H117+H118</f>
        <v>0</v>
      </c>
    </row>
    <row r="117" spans="1:8" ht="48" x14ac:dyDescent="0.2">
      <c r="A117" s="47"/>
      <c r="B117" s="47"/>
      <c r="C117" s="20" t="s">
        <v>100</v>
      </c>
      <c r="D117" s="35" t="s">
        <v>101</v>
      </c>
      <c r="E117" s="10">
        <f>471.33</f>
        <v>471.33</v>
      </c>
      <c r="F117" s="10">
        <f>0</f>
        <v>0</v>
      </c>
      <c r="G117" s="10" t="s">
        <v>165</v>
      </c>
      <c r="H117" s="10">
        <f>0</f>
        <v>0</v>
      </c>
    </row>
    <row r="118" spans="1:8" ht="36" x14ac:dyDescent="0.2">
      <c r="A118" s="47"/>
      <c r="B118" s="47"/>
      <c r="C118" s="20" t="s">
        <v>102</v>
      </c>
      <c r="D118" s="35" t="s">
        <v>103</v>
      </c>
      <c r="E118" s="10">
        <f>70</f>
        <v>70</v>
      </c>
      <c r="F118" s="10">
        <f>0</f>
        <v>0</v>
      </c>
      <c r="G118" s="10" t="s">
        <v>165</v>
      </c>
      <c r="H118" s="10">
        <f>0</f>
        <v>0</v>
      </c>
    </row>
    <row r="119" spans="1:8" ht="36" x14ac:dyDescent="0.2">
      <c r="A119" s="47"/>
      <c r="B119" s="47"/>
      <c r="C119" s="18" t="s">
        <v>104</v>
      </c>
      <c r="D119" s="35" t="s">
        <v>105</v>
      </c>
      <c r="E119" s="10">
        <f>E120+E121+E122</f>
        <v>350</v>
      </c>
      <c r="F119" s="10">
        <f>F120+F121+F122</f>
        <v>97.1</v>
      </c>
      <c r="G119" s="10" t="s">
        <v>954</v>
      </c>
      <c r="H119" s="10">
        <f>H120+H121+H122</f>
        <v>97.1</v>
      </c>
    </row>
    <row r="120" spans="1:8" ht="36" x14ac:dyDescent="0.2">
      <c r="A120" s="47"/>
      <c r="B120" s="47"/>
      <c r="C120" s="20" t="s">
        <v>106</v>
      </c>
      <c r="D120" s="35" t="s">
        <v>107</v>
      </c>
      <c r="E120" s="10">
        <f>20</f>
        <v>20</v>
      </c>
      <c r="F120" s="10">
        <f>0</f>
        <v>0</v>
      </c>
      <c r="G120" s="10" t="s">
        <v>165</v>
      </c>
      <c r="H120" s="10">
        <f>0</f>
        <v>0</v>
      </c>
    </row>
    <row r="121" spans="1:8" ht="36" x14ac:dyDescent="0.2">
      <c r="A121" s="47"/>
      <c r="B121" s="47"/>
      <c r="C121" s="20" t="s">
        <v>108</v>
      </c>
      <c r="D121" s="35" t="s">
        <v>109</v>
      </c>
      <c r="E121" s="10">
        <f>50</f>
        <v>50</v>
      </c>
      <c r="F121" s="10">
        <f>0</f>
        <v>0</v>
      </c>
      <c r="G121" s="10" t="s">
        <v>165</v>
      </c>
      <c r="H121" s="10">
        <f>0</f>
        <v>0</v>
      </c>
    </row>
    <row r="122" spans="1:8" ht="36" x14ac:dyDescent="0.2">
      <c r="A122" s="47"/>
      <c r="B122" s="47"/>
      <c r="C122" s="20" t="s">
        <v>110</v>
      </c>
      <c r="D122" s="35" t="s">
        <v>111</v>
      </c>
      <c r="E122" s="10">
        <f>280</f>
        <v>280</v>
      </c>
      <c r="F122" s="10">
        <f>97.1</f>
        <v>97.1</v>
      </c>
      <c r="G122" s="10" t="s">
        <v>174</v>
      </c>
      <c r="H122" s="10">
        <f>97.1</f>
        <v>97.1</v>
      </c>
    </row>
    <row r="123" spans="1:8" ht="36" x14ac:dyDescent="0.2">
      <c r="A123" s="47"/>
      <c r="B123" s="47"/>
      <c r="C123" s="18" t="s">
        <v>112</v>
      </c>
      <c r="D123" s="35" t="s">
        <v>113</v>
      </c>
      <c r="E123" s="10">
        <f>E124+E125+E126</f>
        <v>254</v>
      </c>
      <c r="F123" s="10">
        <f>F124+F125+F126</f>
        <v>161</v>
      </c>
      <c r="G123" s="10" t="s">
        <v>955</v>
      </c>
      <c r="H123" s="10">
        <f>H124+H125+H126</f>
        <v>161</v>
      </c>
    </row>
    <row r="124" spans="1:8" ht="48" x14ac:dyDescent="0.2">
      <c r="A124" s="47"/>
      <c r="B124" s="47"/>
      <c r="C124" s="20" t="s">
        <v>114</v>
      </c>
      <c r="D124" s="35" t="s">
        <v>115</v>
      </c>
      <c r="E124" s="10">
        <f>0</f>
        <v>0</v>
      </c>
      <c r="F124" s="10">
        <f>0</f>
        <v>0</v>
      </c>
      <c r="G124" s="10" t="s">
        <v>1136</v>
      </c>
      <c r="H124" s="10">
        <f>0</f>
        <v>0</v>
      </c>
    </row>
    <row r="125" spans="1:8" ht="36" x14ac:dyDescent="0.2">
      <c r="A125" s="47"/>
      <c r="B125" s="47"/>
      <c r="C125" s="20" t="s">
        <v>116</v>
      </c>
      <c r="D125" s="35" t="s">
        <v>117</v>
      </c>
      <c r="E125" s="10">
        <f>54</f>
        <v>54</v>
      </c>
      <c r="F125" s="10">
        <f>0</f>
        <v>0</v>
      </c>
      <c r="G125" s="10" t="s">
        <v>165</v>
      </c>
      <c r="H125" s="10">
        <f>0</f>
        <v>0</v>
      </c>
    </row>
    <row r="126" spans="1:8" ht="84" x14ac:dyDescent="0.2">
      <c r="A126" s="47"/>
      <c r="B126" s="47"/>
      <c r="C126" s="20" t="s">
        <v>118</v>
      </c>
      <c r="D126" s="35" t="s">
        <v>119</v>
      </c>
      <c r="E126" s="10">
        <f>200</f>
        <v>200</v>
      </c>
      <c r="F126" s="10">
        <f>161</f>
        <v>161</v>
      </c>
      <c r="G126" s="10" t="s">
        <v>956</v>
      </c>
      <c r="H126" s="10">
        <f>161</f>
        <v>161</v>
      </c>
    </row>
    <row r="127" spans="1:8" ht="48" x14ac:dyDescent="0.2">
      <c r="A127" s="47"/>
      <c r="B127" s="47"/>
      <c r="C127" s="18" t="s">
        <v>120</v>
      </c>
      <c r="D127" s="35" t="s">
        <v>121</v>
      </c>
      <c r="E127" s="10">
        <f>E128</f>
        <v>0</v>
      </c>
      <c r="F127" s="10">
        <f>F128</f>
        <v>0</v>
      </c>
      <c r="G127" s="10" t="s">
        <v>1136</v>
      </c>
      <c r="H127" s="10">
        <f>H128</f>
        <v>0</v>
      </c>
    </row>
    <row r="128" spans="1:8" ht="48" x14ac:dyDescent="0.2">
      <c r="A128" s="47"/>
      <c r="B128" s="47"/>
      <c r="C128" s="20" t="s">
        <v>122</v>
      </c>
      <c r="D128" s="35" t="s">
        <v>123</v>
      </c>
      <c r="E128" s="10">
        <f>0</f>
        <v>0</v>
      </c>
      <c r="F128" s="10">
        <f>0</f>
        <v>0</v>
      </c>
      <c r="G128" s="10" t="s">
        <v>1136</v>
      </c>
      <c r="H128" s="10">
        <f>0</f>
        <v>0</v>
      </c>
    </row>
    <row r="129" spans="1:9" ht="67.5" customHeight="1" x14ac:dyDescent="0.2">
      <c r="A129" s="47"/>
      <c r="B129" s="47"/>
      <c r="C129" s="15" t="s">
        <v>124</v>
      </c>
      <c r="D129" s="34" t="s">
        <v>125</v>
      </c>
      <c r="E129" s="17">
        <f>E130+E131+E132+E133</f>
        <v>4219.01</v>
      </c>
      <c r="F129" s="17">
        <f>F130+F131+F132+F133</f>
        <v>2099.65</v>
      </c>
      <c r="G129" s="17" t="s">
        <v>1147</v>
      </c>
      <c r="H129" s="17">
        <f>H130+H131+H132+H133</f>
        <v>2099.65</v>
      </c>
      <c r="I129" s="19"/>
    </row>
    <row r="130" spans="1:9" ht="36" x14ac:dyDescent="0.2">
      <c r="A130" s="47"/>
      <c r="B130" s="47"/>
      <c r="C130" s="18" t="s">
        <v>14</v>
      </c>
      <c r="D130" s="35" t="s">
        <v>126</v>
      </c>
      <c r="E130" s="10">
        <f>4219.01</f>
        <v>4219.01</v>
      </c>
      <c r="F130" s="10">
        <f>2099.65</f>
        <v>2099.65</v>
      </c>
      <c r="G130" s="10" t="s">
        <v>957</v>
      </c>
      <c r="H130" s="10">
        <f>2099.65</f>
        <v>2099.65</v>
      </c>
    </row>
    <row r="131" spans="1:9" ht="48" x14ac:dyDescent="0.2">
      <c r="A131" s="47"/>
      <c r="B131" s="47"/>
      <c r="C131" s="18" t="s">
        <v>15</v>
      </c>
      <c r="D131" s="35" t="s">
        <v>127</v>
      </c>
      <c r="E131" s="10">
        <f>0</f>
        <v>0</v>
      </c>
      <c r="F131" s="10">
        <f>0</f>
        <v>0</v>
      </c>
      <c r="G131" s="10" t="s">
        <v>1136</v>
      </c>
      <c r="H131" s="10">
        <f>0</f>
        <v>0</v>
      </c>
    </row>
    <row r="132" spans="1:9" ht="48" x14ac:dyDescent="0.2">
      <c r="A132" s="47"/>
      <c r="B132" s="47"/>
      <c r="C132" s="18" t="s">
        <v>17</v>
      </c>
      <c r="D132" s="35" t="s">
        <v>128</v>
      </c>
      <c r="E132" s="10">
        <f>0</f>
        <v>0</v>
      </c>
      <c r="F132" s="10">
        <f>0</f>
        <v>0</v>
      </c>
      <c r="G132" s="10" t="s">
        <v>1136</v>
      </c>
      <c r="H132" s="10">
        <f>0</f>
        <v>0</v>
      </c>
    </row>
    <row r="133" spans="1:9" ht="48" x14ac:dyDescent="0.2">
      <c r="A133" s="47"/>
      <c r="B133" s="47"/>
      <c r="C133" s="18" t="s">
        <v>19</v>
      </c>
      <c r="D133" s="35" t="s">
        <v>129</v>
      </c>
      <c r="E133" s="10">
        <f>0</f>
        <v>0</v>
      </c>
      <c r="F133" s="10">
        <f>0</f>
        <v>0</v>
      </c>
      <c r="G133" s="10" t="s">
        <v>1136</v>
      </c>
      <c r="H133" s="10">
        <f>0</f>
        <v>0</v>
      </c>
    </row>
    <row r="134" spans="1:9" ht="46.5" customHeight="1" x14ac:dyDescent="0.2">
      <c r="A134" s="47"/>
      <c r="B134" s="47"/>
      <c r="C134" s="15" t="s">
        <v>130</v>
      </c>
      <c r="D134" s="34" t="s">
        <v>131</v>
      </c>
      <c r="E134" s="29">
        <f>E135</f>
        <v>44577</v>
      </c>
      <c r="F134" s="17">
        <f>F135</f>
        <v>20150.330000000002</v>
      </c>
      <c r="G134" s="17" t="s">
        <v>1148</v>
      </c>
      <c r="H134" s="17">
        <f>H135</f>
        <v>20150.330000000002</v>
      </c>
    </row>
    <row r="135" spans="1:9" ht="36" x14ac:dyDescent="0.2">
      <c r="A135" s="47"/>
      <c r="B135" s="47"/>
      <c r="C135" s="18" t="s">
        <v>14</v>
      </c>
      <c r="D135" s="35" t="s">
        <v>132</v>
      </c>
      <c r="E135" s="10">
        <f>E136+E137+E138</f>
        <v>44577</v>
      </c>
      <c r="F135" s="10">
        <f>F136+F137+F138</f>
        <v>20150.330000000002</v>
      </c>
      <c r="G135" s="10" t="s">
        <v>1148</v>
      </c>
      <c r="H135" s="10">
        <f>H136+H137+H138</f>
        <v>20150.330000000002</v>
      </c>
    </row>
    <row r="136" spans="1:9" ht="72" x14ac:dyDescent="0.2">
      <c r="A136" s="47"/>
      <c r="B136" s="47"/>
      <c r="C136" s="20" t="s">
        <v>133</v>
      </c>
      <c r="D136" s="35" t="s">
        <v>134</v>
      </c>
      <c r="E136" s="10">
        <f>42208</f>
        <v>42208</v>
      </c>
      <c r="F136" s="10">
        <f>18762.63</f>
        <v>18762.63</v>
      </c>
      <c r="G136" s="10" t="s">
        <v>951</v>
      </c>
      <c r="H136" s="10">
        <f>18762.63</f>
        <v>18762.63</v>
      </c>
    </row>
    <row r="137" spans="1:9" ht="48" x14ac:dyDescent="0.2">
      <c r="A137" s="47"/>
      <c r="B137" s="47"/>
      <c r="C137" s="20" t="s">
        <v>135</v>
      </c>
      <c r="D137" s="35" t="s">
        <v>136</v>
      </c>
      <c r="E137" s="10">
        <f>1369</f>
        <v>1369</v>
      </c>
      <c r="F137" s="10">
        <f>887.7</f>
        <v>887.7</v>
      </c>
      <c r="G137" s="10" t="s">
        <v>958</v>
      </c>
      <c r="H137" s="10">
        <f>887.7</f>
        <v>887.7</v>
      </c>
    </row>
    <row r="138" spans="1:9" ht="48" x14ac:dyDescent="0.2">
      <c r="A138" s="47"/>
      <c r="B138" s="47"/>
      <c r="C138" s="20" t="s">
        <v>137</v>
      </c>
      <c r="D138" s="35" t="s">
        <v>138</v>
      </c>
      <c r="E138" s="10">
        <v>1000</v>
      </c>
      <c r="F138" s="10">
        <f>500</f>
        <v>500</v>
      </c>
      <c r="G138" s="10" t="s">
        <v>973</v>
      </c>
      <c r="H138" s="10">
        <f>500</f>
        <v>500</v>
      </c>
    </row>
    <row r="139" spans="1:9" ht="40.5" customHeight="1" x14ac:dyDescent="0.2">
      <c r="A139" s="47"/>
      <c r="B139" s="47"/>
      <c r="C139" s="15" t="s">
        <v>139</v>
      </c>
      <c r="D139" s="34" t="s">
        <v>140</v>
      </c>
      <c r="E139" s="29">
        <f>E140+E141+E142+E143+E144</f>
        <v>10830.099999999999</v>
      </c>
      <c r="F139" s="29">
        <f>F140+F141+F142+F143+F144</f>
        <v>6074.2</v>
      </c>
      <c r="G139" s="29" t="s">
        <v>1149</v>
      </c>
      <c r="H139" s="29">
        <f>H140+H141+H142+H143+H144</f>
        <v>6074.2</v>
      </c>
    </row>
    <row r="140" spans="1:9" ht="24" x14ac:dyDescent="0.2">
      <c r="A140" s="47"/>
      <c r="B140" s="47"/>
      <c r="C140" s="18" t="s">
        <v>14</v>
      </c>
      <c r="D140" s="35" t="s">
        <v>141</v>
      </c>
      <c r="E140" s="10">
        <f>4961.4</f>
        <v>4961.3999999999996</v>
      </c>
      <c r="F140" s="10">
        <f>2645</f>
        <v>2645</v>
      </c>
      <c r="G140" s="10" t="s">
        <v>1150</v>
      </c>
      <c r="H140" s="10">
        <f>2645</f>
        <v>2645</v>
      </c>
    </row>
    <row r="141" spans="1:9" ht="24" x14ac:dyDescent="0.2">
      <c r="A141" s="47"/>
      <c r="B141" s="47"/>
      <c r="C141" s="18" t="s">
        <v>15</v>
      </c>
      <c r="D141" s="35" t="s">
        <v>142</v>
      </c>
      <c r="E141" s="10">
        <f>1428.9</f>
        <v>1428.9</v>
      </c>
      <c r="F141" s="10">
        <f>771.2</f>
        <v>771.2</v>
      </c>
      <c r="G141" s="10" t="s">
        <v>1151</v>
      </c>
      <c r="H141" s="10">
        <f>771.2</f>
        <v>771.2</v>
      </c>
    </row>
    <row r="142" spans="1:9" ht="24" x14ac:dyDescent="0.2">
      <c r="A142" s="47"/>
      <c r="B142" s="47"/>
      <c r="C142" s="18" t="s">
        <v>17</v>
      </c>
      <c r="D142" s="35" t="s">
        <v>143</v>
      </c>
      <c r="E142" s="10">
        <f>362.1</f>
        <v>362.1</v>
      </c>
      <c r="F142" s="10">
        <f>201</f>
        <v>201</v>
      </c>
      <c r="G142" s="10" t="s">
        <v>1152</v>
      </c>
      <c r="H142" s="10">
        <f>201</f>
        <v>201</v>
      </c>
    </row>
    <row r="143" spans="1:9" ht="24" x14ac:dyDescent="0.2">
      <c r="A143" s="47"/>
      <c r="B143" s="47"/>
      <c r="C143" s="18" t="s">
        <v>19</v>
      </c>
      <c r="D143" s="35" t="s">
        <v>144</v>
      </c>
      <c r="E143" s="10">
        <f>1409.9</f>
        <v>1409.9</v>
      </c>
      <c r="F143" s="10">
        <f>864</f>
        <v>864</v>
      </c>
      <c r="G143" s="10" t="s">
        <v>1153</v>
      </c>
      <c r="H143" s="10">
        <f>864</f>
        <v>864</v>
      </c>
    </row>
    <row r="144" spans="1:9" ht="36" x14ac:dyDescent="0.2">
      <c r="A144" s="47"/>
      <c r="B144" s="47"/>
      <c r="C144" s="18" t="s">
        <v>21</v>
      </c>
      <c r="D144" s="35" t="s">
        <v>145</v>
      </c>
      <c r="E144" s="10">
        <f>2667.8</f>
        <v>2667.8</v>
      </c>
      <c r="F144" s="10">
        <f>1593</f>
        <v>1593</v>
      </c>
      <c r="G144" s="10" t="s">
        <v>1154</v>
      </c>
      <c r="H144" s="10">
        <f>1593</f>
        <v>1593</v>
      </c>
    </row>
    <row r="145" spans="1:9" s="22" customFormat="1" x14ac:dyDescent="0.2">
      <c r="A145" s="47"/>
      <c r="B145" s="47"/>
      <c r="C145" s="46" t="s">
        <v>13</v>
      </c>
      <c r="D145" s="65"/>
      <c r="E145" s="21">
        <f>E139+E134+E112+E105+E84+E58+E129</f>
        <v>231829.5</v>
      </c>
      <c r="F145" s="21">
        <f>F139+F134+F112+F105+F84+F58+F129</f>
        <v>65942.34</v>
      </c>
      <c r="G145" s="75" t="s">
        <v>1155</v>
      </c>
      <c r="H145" s="21">
        <f>H139+H134+H112+H105+H84+H58+H129</f>
        <v>65942.34</v>
      </c>
      <c r="I145" s="3"/>
    </row>
    <row r="146" spans="1:9" ht="33.75" customHeight="1" x14ac:dyDescent="0.2">
      <c r="A146" s="47">
        <v>3</v>
      </c>
      <c r="B146" s="47" t="s">
        <v>162</v>
      </c>
      <c r="C146" s="15" t="s">
        <v>9</v>
      </c>
      <c r="D146" s="34" t="s">
        <v>177</v>
      </c>
      <c r="E146" s="17">
        <f>E147+E155+E163+E167+E170</f>
        <v>71171.22</v>
      </c>
      <c r="F146" s="17">
        <f>F147+F155+F163+F167+F170</f>
        <v>22170.63</v>
      </c>
      <c r="G146" s="17" t="s">
        <v>1056</v>
      </c>
      <c r="H146" s="17">
        <f>H147+H155+H163+H167+H170</f>
        <v>22170.63</v>
      </c>
      <c r="I146" s="19"/>
    </row>
    <row r="147" spans="1:9" ht="48" x14ac:dyDescent="0.2">
      <c r="A147" s="47"/>
      <c r="B147" s="47"/>
      <c r="C147" s="18" t="s">
        <v>178</v>
      </c>
      <c r="D147" s="35" t="s">
        <v>179</v>
      </c>
      <c r="E147" s="10">
        <f>E148+E149+E150+E151+E152+E153+E154</f>
        <v>52531.210000000006</v>
      </c>
      <c r="F147" s="10">
        <f>F148+F149+F150+F151+F152+F153+F154</f>
        <v>20004.260000000002</v>
      </c>
      <c r="G147" s="10" t="s">
        <v>959</v>
      </c>
      <c r="H147" s="10">
        <f>H148+H149+H150+H151+H152+H153+H154</f>
        <v>20004.260000000002</v>
      </c>
    </row>
    <row r="148" spans="1:9" ht="36" x14ac:dyDescent="0.2">
      <c r="A148" s="47"/>
      <c r="B148" s="47"/>
      <c r="C148" s="20" t="s">
        <v>14</v>
      </c>
      <c r="D148" s="35" t="s">
        <v>180</v>
      </c>
      <c r="E148" s="10">
        <f>36613.98</f>
        <v>36613.980000000003</v>
      </c>
      <c r="F148" s="10">
        <f>15002.2</f>
        <v>15002.2</v>
      </c>
      <c r="G148" s="10" t="s">
        <v>960</v>
      </c>
      <c r="H148" s="10">
        <f>15002.2</f>
        <v>15002.2</v>
      </c>
    </row>
    <row r="149" spans="1:9" ht="36" x14ac:dyDescent="0.2">
      <c r="A149" s="47"/>
      <c r="B149" s="47"/>
      <c r="C149" s="20" t="s">
        <v>15</v>
      </c>
      <c r="D149" s="35" t="s">
        <v>181</v>
      </c>
      <c r="E149" s="10">
        <f>4272.5</f>
        <v>4272.5</v>
      </c>
      <c r="F149" s="10">
        <f>2074.3</f>
        <v>2074.3000000000002</v>
      </c>
      <c r="G149" s="10" t="s">
        <v>961</v>
      </c>
      <c r="H149" s="10">
        <f>2074.3</f>
        <v>2074.3000000000002</v>
      </c>
    </row>
    <row r="150" spans="1:9" ht="36" x14ac:dyDescent="0.2">
      <c r="A150" s="47"/>
      <c r="B150" s="47"/>
      <c r="C150" s="20" t="s">
        <v>17</v>
      </c>
      <c r="D150" s="35" t="s">
        <v>182</v>
      </c>
      <c r="E150" s="10">
        <f>1720.8</f>
        <v>1720.8</v>
      </c>
      <c r="F150" s="10">
        <f>450.7</f>
        <v>450.7</v>
      </c>
      <c r="G150" s="10" t="s">
        <v>962</v>
      </c>
      <c r="H150" s="10">
        <f>450.7</f>
        <v>450.7</v>
      </c>
    </row>
    <row r="151" spans="1:9" ht="36" x14ac:dyDescent="0.2">
      <c r="A151" s="47"/>
      <c r="B151" s="47"/>
      <c r="C151" s="20" t="s">
        <v>19</v>
      </c>
      <c r="D151" s="35" t="s">
        <v>183</v>
      </c>
      <c r="E151" s="10">
        <f>777.93</f>
        <v>777.93</v>
      </c>
      <c r="F151" s="10">
        <f>244</f>
        <v>244</v>
      </c>
      <c r="G151" s="10" t="s">
        <v>963</v>
      </c>
      <c r="H151" s="10">
        <f>244</f>
        <v>244</v>
      </c>
    </row>
    <row r="152" spans="1:9" ht="36" x14ac:dyDescent="0.2">
      <c r="A152" s="47"/>
      <c r="B152" s="47"/>
      <c r="C152" s="20" t="s">
        <v>21</v>
      </c>
      <c r="D152" s="35" t="s">
        <v>184</v>
      </c>
      <c r="E152" s="10">
        <f>4400</f>
        <v>4400</v>
      </c>
      <c r="F152" s="10">
        <f>1236</f>
        <v>1236</v>
      </c>
      <c r="G152" s="10" t="s">
        <v>964</v>
      </c>
      <c r="H152" s="10">
        <f>1236</f>
        <v>1236</v>
      </c>
    </row>
    <row r="153" spans="1:9" ht="36" x14ac:dyDescent="0.2">
      <c r="A153" s="47"/>
      <c r="B153" s="47"/>
      <c r="C153" s="20" t="s">
        <v>23</v>
      </c>
      <c r="D153" s="35" t="s">
        <v>185</v>
      </c>
      <c r="E153" s="10">
        <f>4640</f>
        <v>4640</v>
      </c>
      <c r="F153" s="10">
        <f>997.06</f>
        <v>997.06</v>
      </c>
      <c r="G153" s="10" t="s">
        <v>965</v>
      </c>
      <c r="H153" s="10">
        <f>997.06</f>
        <v>997.06</v>
      </c>
    </row>
    <row r="154" spans="1:9" ht="48" x14ac:dyDescent="0.2">
      <c r="A154" s="47"/>
      <c r="B154" s="47"/>
      <c r="C154" s="20" t="s">
        <v>25</v>
      </c>
      <c r="D154" s="35" t="s">
        <v>186</v>
      </c>
      <c r="E154" s="10">
        <f>106</f>
        <v>106</v>
      </c>
      <c r="F154" s="10">
        <f>0</f>
        <v>0</v>
      </c>
      <c r="G154" s="10" t="s">
        <v>165</v>
      </c>
      <c r="H154" s="10">
        <f>0</f>
        <v>0</v>
      </c>
    </row>
    <row r="155" spans="1:9" ht="48" x14ac:dyDescent="0.2">
      <c r="A155" s="47"/>
      <c r="B155" s="47"/>
      <c r="C155" s="18" t="s">
        <v>187</v>
      </c>
      <c r="D155" s="35" t="s">
        <v>188</v>
      </c>
      <c r="E155" s="10">
        <f>E156+E157+E158+E159+E160+E161+E162</f>
        <v>17692.009999999998</v>
      </c>
      <c r="F155" s="10">
        <f>F156+F157+F158+F159+F160+F161+F162</f>
        <v>2166.37</v>
      </c>
      <c r="G155" s="10" t="s">
        <v>966</v>
      </c>
      <c r="H155" s="10">
        <f>H156+H157+H158+H159+H160+H161+H162</f>
        <v>2166.37</v>
      </c>
    </row>
    <row r="156" spans="1:9" ht="36" x14ac:dyDescent="0.2">
      <c r="A156" s="47"/>
      <c r="B156" s="47"/>
      <c r="C156" s="20" t="s">
        <v>98</v>
      </c>
      <c r="D156" s="35" t="s">
        <v>189</v>
      </c>
      <c r="E156" s="10">
        <f>500</f>
        <v>500</v>
      </c>
      <c r="F156" s="10">
        <f>0</f>
        <v>0</v>
      </c>
      <c r="G156" s="10" t="s">
        <v>165</v>
      </c>
      <c r="H156" s="10">
        <f>0</f>
        <v>0</v>
      </c>
    </row>
    <row r="157" spans="1:9" ht="36" x14ac:dyDescent="0.2">
      <c r="A157" s="47"/>
      <c r="B157" s="47"/>
      <c r="C157" s="20" t="s">
        <v>190</v>
      </c>
      <c r="D157" s="35" t="s">
        <v>191</v>
      </c>
      <c r="E157" s="10">
        <f>1291.6</f>
        <v>1291.5999999999999</v>
      </c>
      <c r="F157" s="10">
        <f>263.66</f>
        <v>263.66000000000003</v>
      </c>
      <c r="G157" s="10" t="s">
        <v>967</v>
      </c>
      <c r="H157" s="10">
        <f>263.66</f>
        <v>263.66000000000003</v>
      </c>
    </row>
    <row r="158" spans="1:9" ht="48" x14ac:dyDescent="0.2">
      <c r="A158" s="47"/>
      <c r="B158" s="47"/>
      <c r="C158" s="20" t="s">
        <v>192</v>
      </c>
      <c r="D158" s="35" t="s">
        <v>193</v>
      </c>
      <c r="E158" s="10">
        <f>234</f>
        <v>234</v>
      </c>
      <c r="F158" s="10">
        <f>134</f>
        <v>134</v>
      </c>
      <c r="G158" s="10" t="s">
        <v>968</v>
      </c>
      <c r="H158" s="10">
        <f>134</f>
        <v>134</v>
      </c>
    </row>
    <row r="159" spans="1:9" ht="36" x14ac:dyDescent="0.2">
      <c r="A159" s="47"/>
      <c r="B159" s="47"/>
      <c r="C159" s="20" t="s">
        <v>194</v>
      </c>
      <c r="D159" s="35" t="s">
        <v>195</v>
      </c>
      <c r="E159" s="10">
        <f>55</f>
        <v>55</v>
      </c>
      <c r="F159" s="10">
        <f>0</f>
        <v>0</v>
      </c>
      <c r="G159" s="10" t="s">
        <v>165</v>
      </c>
      <c r="H159" s="10">
        <f>0</f>
        <v>0</v>
      </c>
    </row>
    <row r="160" spans="1:9" ht="36" x14ac:dyDescent="0.2">
      <c r="A160" s="47"/>
      <c r="B160" s="47"/>
      <c r="C160" s="20" t="s">
        <v>196</v>
      </c>
      <c r="D160" s="35" t="s">
        <v>197</v>
      </c>
      <c r="E160" s="10">
        <f>1123.7</f>
        <v>1123.7</v>
      </c>
      <c r="F160" s="10">
        <f>252.7</f>
        <v>252.7</v>
      </c>
      <c r="G160" s="10" t="s">
        <v>969</v>
      </c>
      <c r="H160" s="10">
        <f>252.7</f>
        <v>252.7</v>
      </c>
    </row>
    <row r="161" spans="1:8" ht="36" x14ac:dyDescent="0.2">
      <c r="A161" s="47"/>
      <c r="B161" s="47"/>
      <c r="C161" s="20" t="s">
        <v>198</v>
      </c>
      <c r="D161" s="35" t="s">
        <v>199</v>
      </c>
      <c r="E161" s="10">
        <f>9163.41</f>
        <v>9163.41</v>
      </c>
      <c r="F161" s="10">
        <f>1094.31</f>
        <v>1094.31</v>
      </c>
      <c r="G161" s="10" t="s">
        <v>970</v>
      </c>
      <c r="H161" s="10">
        <f>1094.31</f>
        <v>1094.31</v>
      </c>
    </row>
    <row r="162" spans="1:8" ht="36" x14ac:dyDescent="0.2">
      <c r="A162" s="47"/>
      <c r="B162" s="47"/>
      <c r="C162" s="20" t="s">
        <v>200</v>
      </c>
      <c r="D162" s="35" t="s">
        <v>201</v>
      </c>
      <c r="E162" s="10">
        <f>5324.3</f>
        <v>5324.3</v>
      </c>
      <c r="F162" s="10">
        <f>421.7</f>
        <v>421.7</v>
      </c>
      <c r="G162" s="10" t="s">
        <v>971</v>
      </c>
      <c r="H162" s="10">
        <f>421.7</f>
        <v>421.7</v>
      </c>
    </row>
    <row r="163" spans="1:8" ht="36" x14ac:dyDescent="0.2">
      <c r="A163" s="47"/>
      <c r="B163" s="47"/>
      <c r="C163" s="18" t="s">
        <v>202</v>
      </c>
      <c r="D163" s="35" t="s">
        <v>203</v>
      </c>
      <c r="E163" s="10">
        <f>E164+E165+E166</f>
        <v>407</v>
      </c>
      <c r="F163" s="10">
        <f>F164+F165+F166</f>
        <v>0</v>
      </c>
      <c r="G163" s="10" t="s">
        <v>165</v>
      </c>
      <c r="H163" s="10">
        <f>H164+H165+H166</f>
        <v>0</v>
      </c>
    </row>
    <row r="164" spans="1:8" ht="48" x14ac:dyDescent="0.2">
      <c r="A164" s="47"/>
      <c r="B164" s="47"/>
      <c r="C164" s="20" t="s">
        <v>104</v>
      </c>
      <c r="D164" s="35" t="s">
        <v>204</v>
      </c>
      <c r="E164" s="10">
        <f>0</f>
        <v>0</v>
      </c>
      <c r="F164" s="10">
        <f>0</f>
        <v>0</v>
      </c>
      <c r="G164" s="10" t="s">
        <v>1136</v>
      </c>
      <c r="H164" s="10">
        <f>0</f>
        <v>0</v>
      </c>
    </row>
    <row r="165" spans="1:8" ht="36" x14ac:dyDescent="0.2">
      <c r="A165" s="47"/>
      <c r="B165" s="47"/>
      <c r="C165" s="20" t="s">
        <v>205</v>
      </c>
      <c r="D165" s="35" t="s">
        <v>206</v>
      </c>
      <c r="E165" s="10">
        <f>157</f>
        <v>157</v>
      </c>
      <c r="F165" s="10">
        <f>0</f>
        <v>0</v>
      </c>
      <c r="G165" s="10" t="s">
        <v>165</v>
      </c>
      <c r="H165" s="10">
        <f>0</f>
        <v>0</v>
      </c>
    </row>
    <row r="166" spans="1:8" ht="36" x14ac:dyDescent="0.2">
      <c r="A166" s="47"/>
      <c r="B166" s="47"/>
      <c r="C166" s="20" t="s">
        <v>207</v>
      </c>
      <c r="D166" s="35" t="s">
        <v>208</v>
      </c>
      <c r="E166" s="10">
        <f>250</f>
        <v>250</v>
      </c>
      <c r="F166" s="10">
        <f>0</f>
        <v>0</v>
      </c>
      <c r="G166" s="10" t="s">
        <v>165</v>
      </c>
      <c r="H166" s="10">
        <f>0</f>
        <v>0</v>
      </c>
    </row>
    <row r="167" spans="1:8" ht="36" x14ac:dyDescent="0.2">
      <c r="A167" s="47"/>
      <c r="B167" s="47"/>
      <c r="C167" s="18" t="s">
        <v>209</v>
      </c>
      <c r="D167" s="35" t="s">
        <v>210</v>
      </c>
      <c r="E167" s="10">
        <f>E168+E169</f>
        <v>68</v>
      </c>
      <c r="F167" s="10">
        <f>F168+F169</f>
        <v>0</v>
      </c>
      <c r="G167" s="10" t="s">
        <v>165</v>
      </c>
      <c r="H167" s="10">
        <f>H168+H169</f>
        <v>0</v>
      </c>
    </row>
    <row r="168" spans="1:8" ht="60" x14ac:dyDescent="0.2">
      <c r="A168" s="47"/>
      <c r="B168" s="47"/>
      <c r="C168" s="20" t="s">
        <v>112</v>
      </c>
      <c r="D168" s="35" t="s">
        <v>211</v>
      </c>
      <c r="E168" s="10">
        <f>12</f>
        <v>12</v>
      </c>
      <c r="F168" s="10">
        <f>0</f>
        <v>0</v>
      </c>
      <c r="G168" s="10" t="s">
        <v>165</v>
      </c>
      <c r="H168" s="10">
        <f>0</f>
        <v>0</v>
      </c>
    </row>
    <row r="169" spans="1:8" ht="36" x14ac:dyDescent="0.2">
      <c r="A169" s="47"/>
      <c r="B169" s="47"/>
      <c r="C169" s="20" t="s">
        <v>212</v>
      </c>
      <c r="D169" s="35" t="s">
        <v>213</v>
      </c>
      <c r="E169" s="10">
        <f>56</f>
        <v>56</v>
      </c>
      <c r="F169" s="10">
        <f>0</f>
        <v>0</v>
      </c>
      <c r="G169" s="10" t="s">
        <v>165</v>
      </c>
      <c r="H169" s="10">
        <f>0</f>
        <v>0</v>
      </c>
    </row>
    <row r="170" spans="1:8" ht="60" x14ac:dyDescent="0.2">
      <c r="A170" s="47"/>
      <c r="B170" s="47"/>
      <c r="C170" s="18" t="s">
        <v>214</v>
      </c>
      <c r="D170" s="35" t="s">
        <v>215</v>
      </c>
      <c r="E170" s="10">
        <f>E171+E172+E173+E174+E175+E177+E176</f>
        <v>473</v>
      </c>
      <c r="F170" s="10">
        <f>F171+F172+F174+F173+F175+F176+F177</f>
        <v>0</v>
      </c>
      <c r="G170" s="10" t="s">
        <v>165</v>
      </c>
      <c r="H170" s="10">
        <f>H171+H172+H174+H173+H175+H176+H177</f>
        <v>0</v>
      </c>
    </row>
    <row r="171" spans="1:8" ht="48" x14ac:dyDescent="0.2">
      <c r="A171" s="47"/>
      <c r="B171" s="47"/>
      <c r="C171" s="20" t="s">
        <v>120</v>
      </c>
      <c r="D171" s="35" t="s">
        <v>216</v>
      </c>
      <c r="E171" s="10">
        <f>34.5</f>
        <v>34.5</v>
      </c>
      <c r="F171" s="10">
        <f>0</f>
        <v>0</v>
      </c>
      <c r="G171" s="10" t="s">
        <v>165</v>
      </c>
      <c r="H171" s="10">
        <f>0</f>
        <v>0</v>
      </c>
    </row>
    <row r="172" spans="1:8" ht="72" x14ac:dyDescent="0.2">
      <c r="A172" s="47"/>
      <c r="B172" s="47"/>
      <c r="C172" s="20" t="s">
        <v>217</v>
      </c>
      <c r="D172" s="35" t="s">
        <v>218</v>
      </c>
      <c r="E172" s="10">
        <f>0</f>
        <v>0</v>
      </c>
      <c r="F172" s="10">
        <f>0</f>
        <v>0</v>
      </c>
      <c r="G172" s="10" t="s">
        <v>1136</v>
      </c>
      <c r="H172" s="10">
        <f>0</f>
        <v>0</v>
      </c>
    </row>
    <row r="173" spans="1:8" ht="48" x14ac:dyDescent="0.2">
      <c r="A173" s="47"/>
      <c r="B173" s="47"/>
      <c r="C173" s="20" t="s">
        <v>219</v>
      </c>
      <c r="D173" s="35" t="s">
        <v>220</v>
      </c>
      <c r="E173" s="10">
        <f>103.5</f>
        <v>103.5</v>
      </c>
      <c r="F173" s="10">
        <f>0</f>
        <v>0</v>
      </c>
      <c r="G173" s="10" t="s">
        <v>165</v>
      </c>
      <c r="H173" s="10">
        <f>0</f>
        <v>0</v>
      </c>
    </row>
    <row r="174" spans="1:8" ht="60" x14ac:dyDescent="0.2">
      <c r="A174" s="47"/>
      <c r="B174" s="47"/>
      <c r="C174" s="20" t="s">
        <v>221</v>
      </c>
      <c r="D174" s="35" t="s">
        <v>222</v>
      </c>
      <c r="E174" s="10">
        <f>235</f>
        <v>235</v>
      </c>
      <c r="F174" s="10">
        <f>0</f>
        <v>0</v>
      </c>
      <c r="G174" s="10" t="s">
        <v>165</v>
      </c>
      <c r="H174" s="10">
        <f>0</f>
        <v>0</v>
      </c>
    </row>
    <row r="175" spans="1:8" ht="36" x14ac:dyDescent="0.2">
      <c r="A175" s="47"/>
      <c r="B175" s="47"/>
      <c r="C175" s="20" t="s">
        <v>223</v>
      </c>
      <c r="D175" s="35" t="s">
        <v>224</v>
      </c>
      <c r="E175" s="10">
        <f>50</f>
        <v>50</v>
      </c>
      <c r="F175" s="10">
        <f>0</f>
        <v>0</v>
      </c>
      <c r="G175" s="10" t="s">
        <v>165</v>
      </c>
      <c r="H175" s="10">
        <f>0</f>
        <v>0</v>
      </c>
    </row>
    <row r="176" spans="1:8" ht="36" x14ac:dyDescent="0.2">
      <c r="A176" s="47"/>
      <c r="B176" s="47"/>
      <c r="C176" s="20" t="s">
        <v>225</v>
      </c>
      <c r="D176" s="35" t="s">
        <v>226</v>
      </c>
      <c r="E176" s="10">
        <f>50</f>
        <v>50</v>
      </c>
      <c r="F176" s="10">
        <f>0</f>
        <v>0</v>
      </c>
      <c r="G176" s="10" t="s">
        <v>165</v>
      </c>
      <c r="H176" s="10">
        <f>0</f>
        <v>0</v>
      </c>
    </row>
    <row r="177" spans="1:10" ht="48" x14ac:dyDescent="0.2">
      <c r="A177" s="47"/>
      <c r="B177" s="47"/>
      <c r="C177" s="20" t="s">
        <v>227</v>
      </c>
      <c r="D177" s="35" t="s">
        <v>228</v>
      </c>
      <c r="E177" s="10">
        <f>0</f>
        <v>0</v>
      </c>
      <c r="F177" s="10">
        <f>0</f>
        <v>0</v>
      </c>
      <c r="G177" s="10" t="s">
        <v>1136</v>
      </c>
      <c r="H177" s="10">
        <f>0</f>
        <v>0</v>
      </c>
    </row>
    <row r="178" spans="1:10" ht="67.5" customHeight="1" x14ac:dyDescent="0.2">
      <c r="A178" s="47"/>
      <c r="B178" s="47"/>
      <c r="C178" s="23" t="s">
        <v>10</v>
      </c>
      <c r="D178" s="37" t="s">
        <v>229</v>
      </c>
      <c r="E178" s="24">
        <f>E179+E184+E189+E194+E199+E204</f>
        <v>31676.230000000003</v>
      </c>
      <c r="F178" s="24">
        <f>F179+F184+F189+F194+F199+F204</f>
        <v>10525.24</v>
      </c>
      <c r="G178" s="17" t="s">
        <v>1009</v>
      </c>
      <c r="H178" s="24">
        <f>H179+H184+H189+H194+H199+H204</f>
        <v>10525.24</v>
      </c>
      <c r="I178" s="19"/>
      <c r="J178" s="19"/>
    </row>
    <row r="179" spans="1:10" ht="48" x14ac:dyDescent="0.2">
      <c r="A179" s="47"/>
      <c r="B179" s="47"/>
      <c r="C179" s="18" t="s">
        <v>178</v>
      </c>
      <c r="D179" s="35" t="s">
        <v>230</v>
      </c>
      <c r="E179" s="10">
        <f>E180+E181+E182+E183</f>
        <v>0</v>
      </c>
      <c r="F179" s="10">
        <f>F180+F181+F182+F183</f>
        <v>0</v>
      </c>
      <c r="G179" s="10" t="s">
        <v>1136</v>
      </c>
      <c r="H179" s="10">
        <f>H180+H181+H182+H183</f>
        <v>0</v>
      </c>
    </row>
    <row r="180" spans="1:10" ht="48" x14ac:dyDescent="0.2">
      <c r="A180" s="47"/>
      <c r="B180" s="47"/>
      <c r="C180" s="20" t="s">
        <v>14</v>
      </c>
      <c r="D180" s="35" t="s">
        <v>231</v>
      </c>
      <c r="E180" s="10">
        <f>0</f>
        <v>0</v>
      </c>
      <c r="F180" s="10">
        <f>0</f>
        <v>0</v>
      </c>
      <c r="G180" s="10" t="s">
        <v>1136</v>
      </c>
      <c r="H180" s="10">
        <f>0</f>
        <v>0</v>
      </c>
    </row>
    <row r="181" spans="1:10" ht="48" x14ac:dyDescent="0.2">
      <c r="A181" s="47"/>
      <c r="B181" s="47"/>
      <c r="C181" s="20" t="s">
        <v>15</v>
      </c>
      <c r="D181" s="35" t="s">
        <v>232</v>
      </c>
      <c r="E181" s="10">
        <f>0</f>
        <v>0</v>
      </c>
      <c r="F181" s="10">
        <f>0</f>
        <v>0</v>
      </c>
      <c r="G181" s="10" t="s">
        <v>1136</v>
      </c>
      <c r="H181" s="10">
        <f>0</f>
        <v>0</v>
      </c>
    </row>
    <row r="182" spans="1:10" ht="48" x14ac:dyDescent="0.2">
      <c r="A182" s="47"/>
      <c r="B182" s="47"/>
      <c r="C182" s="20" t="s">
        <v>17</v>
      </c>
      <c r="D182" s="35" t="s">
        <v>233</v>
      </c>
      <c r="E182" s="10">
        <f>0</f>
        <v>0</v>
      </c>
      <c r="F182" s="10">
        <f>0</f>
        <v>0</v>
      </c>
      <c r="G182" s="10" t="s">
        <v>1136</v>
      </c>
      <c r="H182" s="10">
        <f>0</f>
        <v>0</v>
      </c>
    </row>
    <row r="183" spans="1:10" ht="48" x14ac:dyDescent="0.2">
      <c r="A183" s="47"/>
      <c r="B183" s="47"/>
      <c r="C183" s="20" t="s">
        <v>19</v>
      </c>
      <c r="D183" s="35" t="s">
        <v>234</v>
      </c>
      <c r="E183" s="10">
        <f>0</f>
        <v>0</v>
      </c>
      <c r="F183" s="10">
        <f>0</f>
        <v>0</v>
      </c>
      <c r="G183" s="10" t="s">
        <v>1136</v>
      </c>
      <c r="H183" s="10">
        <f>0</f>
        <v>0</v>
      </c>
    </row>
    <row r="184" spans="1:10" ht="36" x14ac:dyDescent="0.2">
      <c r="A184" s="47"/>
      <c r="B184" s="47"/>
      <c r="C184" s="18" t="s">
        <v>187</v>
      </c>
      <c r="D184" s="35" t="s">
        <v>235</v>
      </c>
      <c r="E184" s="10">
        <f>E185+E186+E187+E188</f>
        <v>60</v>
      </c>
      <c r="F184" s="10">
        <f>F185+F186+F187+F188</f>
        <v>9.48</v>
      </c>
      <c r="G184" s="10" t="s">
        <v>972</v>
      </c>
      <c r="H184" s="10">
        <f>H185+H186+H187+H188</f>
        <v>9.48</v>
      </c>
    </row>
    <row r="185" spans="1:10" ht="48" x14ac:dyDescent="0.2">
      <c r="A185" s="47"/>
      <c r="B185" s="47"/>
      <c r="C185" s="20" t="s">
        <v>98</v>
      </c>
      <c r="D185" s="35" t="s">
        <v>236</v>
      </c>
      <c r="E185" s="10">
        <f>0</f>
        <v>0</v>
      </c>
      <c r="F185" s="10">
        <f>0</f>
        <v>0</v>
      </c>
      <c r="G185" s="10" t="s">
        <v>1136</v>
      </c>
      <c r="H185" s="10">
        <f>0</f>
        <v>0</v>
      </c>
    </row>
    <row r="186" spans="1:10" ht="48" x14ac:dyDescent="0.2">
      <c r="A186" s="47"/>
      <c r="B186" s="47"/>
      <c r="C186" s="20" t="s">
        <v>190</v>
      </c>
      <c r="D186" s="35" t="s">
        <v>237</v>
      </c>
      <c r="E186" s="10">
        <f>0</f>
        <v>0</v>
      </c>
      <c r="F186" s="10">
        <f>0</f>
        <v>0</v>
      </c>
      <c r="G186" s="10" t="s">
        <v>1136</v>
      </c>
      <c r="H186" s="10">
        <f>0</f>
        <v>0</v>
      </c>
    </row>
    <row r="187" spans="1:10" ht="108" x14ac:dyDescent="0.2">
      <c r="A187" s="47"/>
      <c r="B187" s="47"/>
      <c r="C187" s="20" t="s">
        <v>192</v>
      </c>
      <c r="D187" s="35" t="s">
        <v>238</v>
      </c>
      <c r="E187" s="10">
        <f>0</f>
        <v>0</v>
      </c>
      <c r="F187" s="10">
        <f>0</f>
        <v>0</v>
      </c>
      <c r="G187" s="10" t="s">
        <v>1136</v>
      </c>
      <c r="H187" s="10">
        <f>0</f>
        <v>0</v>
      </c>
    </row>
    <row r="188" spans="1:10" ht="36" x14ac:dyDescent="0.2">
      <c r="A188" s="47"/>
      <c r="B188" s="47"/>
      <c r="C188" s="20" t="s">
        <v>194</v>
      </c>
      <c r="D188" s="35" t="s">
        <v>239</v>
      </c>
      <c r="E188" s="10">
        <f>60</f>
        <v>60</v>
      </c>
      <c r="F188" s="10">
        <f>9.48</f>
        <v>9.48</v>
      </c>
      <c r="G188" s="10" t="s">
        <v>972</v>
      </c>
      <c r="H188" s="10">
        <f>9.48</f>
        <v>9.48</v>
      </c>
    </row>
    <row r="189" spans="1:10" ht="36" x14ac:dyDescent="0.2">
      <c r="A189" s="47"/>
      <c r="B189" s="47"/>
      <c r="C189" s="18" t="s">
        <v>202</v>
      </c>
      <c r="D189" s="35" t="s">
        <v>240</v>
      </c>
      <c r="E189" s="10">
        <f>E190+E191+E192+E193</f>
        <v>604.79999999999995</v>
      </c>
      <c r="F189" s="10">
        <f>F190+F191+F192+F193</f>
        <v>302.39999999999998</v>
      </c>
      <c r="G189" s="10" t="s">
        <v>973</v>
      </c>
      <c r="H189" s="10">
        <f>H190+H191+H192+H193</f>
        <v>302.39999999999998</v>
      </c>
    </row>
    <row r="190" spans="1:10" ht="60" x14ac:dyDescent="0.2">
      <c r="A190" s="47"/>
      <c r="B190" s="47"/>
      <c r="C190" s="20" t="s">
        <v>104</v>
      </c>
      <c r="D190" s="35" t="s">
        <v>241</v>
      </c>
      <c r="E190" s="10">
        <f>300</f>
        <v>300</v>
      </c>
      <c r="F190" s="10">
        <f>0</f>
        <v>0</v>
      </c>
      <c r="G190" s="10" t="s">
        <v>165</v>
      </c>
      <c r="H190" s="10">
        <f>0</f>
        <v>0</v>
      </c>
    </row>
    <row r="191" spans="1:10" ht="60" x14ac:dyDescent="0.2">
      <c r="A191" s="47"/>
      <c r="B191" s="47"/>
      <c r="C191" s="20" t="s">
        <v>205</v>
      </c>
      <c r="D191" s="35" t="s">
        <v>242</v>
      </c>
      <c r="E191" s="10">
        <f>300</f>
        <v>300</v>
      </c>
      <c r="F191" s="10">
        <f>300</f>
        <v>300</v>
      </c>
      <c r="G191" s="10" t="s">
        <v>175</v>
      </c>
      <c r="H191" s="10">
        <f>300</f>
        <v>300</v>
      </c>
    </row>
    <row r="192" spans="1:10" ht="48" x14ac:dyDescent="0.2">
      <c r="A192" s="47"/>
      <c r="B192" s="47"/>
      <c r="C192" s="20" t="s">
        <v>207</v>
      </c>
      <c r="D192" s="35" t="s">
        <v>243</v>
      </c>
      <c r="E192" s="10">
        <f>0</f>
        <v>0</v>
      </c>
      <c r="F192" s="10">
        <f>0</f>
        <v>0</v>
      </c>
      <c r="G192" s="10" t="s">
        <v>1136</v>
      </c>
      <c r="H192" s="10">
        <f>0</f>
        <v>0</v>
      </c>
    </row>
    <row r="193" spans="1:8" ht="48" x14ac:dyDescent="0.2">
      <c r="A193" s="47"/>
      <c r="B193" s="47"/>
      <c r="C193" s="20" t="s">
        <v>244</v>
      </c>
      <c r="D193" s="35" t="s">
        <v>245</v>
      </c>
      <c r="E193" s="10">
        <f>4.8</f>
        <v>4.8</v>
      </c>
      <c r="F193" s="10">
        <f>2.4</f>
        <v>2.4</v>
      </c>
      <c r="G193" s="10" t="s">
        <v>973</v>
      </c>
      <c r="H193" s="10">
        <f>2.4</f>
        <v>2.4</v>
      </c>
    </row>
    <row r="194" spans="1:8" ht="36" x14ac:dyDescent="0.2">
      <c r="A194" s="47"/>
      <c r="B194" s="47"/>
      <c r="C194" s="18" t="s">
        <v>209</v>
      </c>
      <c r="D194" s="35" t="s">
        <v>246</v>
      </c>
      <c r="E194" s="10">
        <f>E195+E196+E197+E198</f>
        <v>7101.49</v>
      </c>
      <c r="F194" s="10">
        <f>F195+F196+F197+F198</f>
        <v>0</v>
      </c>
      <c r="G194" s="10" t="s">
        <v>165</v>
      </c>
      <c r="H194" s="10">
        <f>H195+H196+H197+H198</f>
        <v>0</v>
      </c>
    </row>
    <row r="195" spans="1:8" ht="48" x14ac:dyDescent="0.2">
      <c r="A195" s="47"/>
      <c r="B195" s="47"/>
      <c r="C195" s="20" t="s">
        <v>112</v>
      </c>
      <c r="D195" s="35" t="s">
        <v>247</v>
      </c>
      <c r="E195" s="10">
        <f>6500</f>
        <v>6500</v>
      </c>
      <c r="F195" s="10">
        <f>0</f>
        <v>0</v>
      </c>
      <c r="G195" s="10" t="s">
        <v>165</v>
      </c>
      <c r="H195" s="10">
        <f>0</f>
        <v>0</v>
      </c>
    </row>
    <row r="196" spans="1:8" ht="48" x14ac:dyDescent="0.2">
      <c r="A196" s="47"/>
      <c r="B196" s="47"/>
      <c r="C196" s="20" t="s">
        <v>212</v>
      </c>
      <c r="D196" s="35" t="s">
        <v>248</v>
      </c>
      <c r="E196" s="10">
        <f>0</f>
        <v>0</v>
      </c>
      <c r="F196" s="10">
        <f>0</f>
        <v>0</v>
      </c>
      <c r="G196" s="10" t="s">
        <v>1136</v>
      </c>
      <c r="H196" s="10">
        <f>0</f>
        <v>0</v>
      </c>
    </row>
    <row r="197" spans="1:8" ht="48" x14ac:dyDescent="0.2">
      <c r="A197" s="47"/>
      <c r="B197" s="47"/>
      <c r="C197" s="20" t="s">
        <v>249</v>
      </c>
      <c r="D197" s="35" t="s">
        <v>250</v>
      </c>
      <c r="E197" s="10">
        <f>601.49</f>
        <v>601.49</v>
      </c>
      <c r="F197" s="10">
        <f>0</f>
        <v>0</v>
      </c>
      <c r="G197" s="10" t="s">
        <v>165</v>
      </c>
      <c r="H197" s="10">
        <f>0</f>
        <v>0</v>
      </c>
    </row>
    <row r="198" spans="1:8" ht="48" x14ac:dyDescent="0.2">
      <c r="A198" s="47"/>
      <c r="B198" s="47"/>
      <c r="C198" s="20" t="s">
        <v>251</v>
      </c>
      <c r="D198" s="35" t="s">
        <v>252</v>
      </c>
      <c r="E198" s="10">
        <f>0</f>
        <v>0</v>
      </c>
      <c r="F198" s="10">
        <f>0</f>
        <v>0</v>
      </c>
      <c r="G198" s="10" t="s">
        <v>1136</v>
      </c>
      <c r="H198" s="10">
        <f>0</f>
        <v>0</v>
      </c>
    </row>
    <row r="199" spans="1:8" ht="36" x14ac:dyDescent="0.2">
      <c r="A199" s="47"/>
      <c r="B199" s="47"/>
      <c r="C199" s="18" t="s">
        <v>214</v>
      </c>
      <c r="D199" s="35" t="s">
        <v>253</v>
      </c>
      <c r="E199" s="10">
        <f>E200+E201+E202+E203</f>
        <v>72.2</v>
      </c>
      <c r="F199" s="10">
        <f>F200+F201+F202+F203</f>
        <v>0</v>
      </c>
      <c r="G199" s="10" t="s">
        <v>165</v>
      </c>
      <c r="H199" s="10">
        <f>H200+H201+H202+H203</f>
        <v>0</v>
      </c>
    </row>
    <row r="200" spans="1:8" ht="48" x14ac:dyDescent="0.2">
      <c r="A200" s="47"/>
      <c r="B200" s="47"/>
      <c r="C200" s="20" t="s">
        <v>120</v>
      </c>
      <c r="D200" s="35" t="s">
        <v>254</v>
      </c>
      <c r="E200" s="10">
        <f>0</f>
        <v>0</v>
      </c>
      <c r="F200" s="10">
        <f>0</f>
        <v>0</v>
      </c>
      <c r="G200" s="10" t="s">
        <v>1136</v>
      </c>
      <c r="H200" s="10">
        <f>0</f>
        <v>0</v>
      </c>
    </row>
    <row r="201" spans="1:8" ht="36" x14ac:dyDescent="0.2">
      <c r="A201" s="47"/>
      <c r="B201" s="47"/>
      <c r="C201" s="20" t="s">
        <v>217</v>
      </c>
      <c r="D201" s="35" t="s">
        <v>255</v>
      </c>
      <c r="E201" s="10">
        <f>72.2</f>
        <v>72.2</v>
      </c>
      <c r="F201" s="10">
        <f>0</f>
        <v>0</v>
      </c>
      <c r="G201" s="10" t="s">
        <v>165</v>
      </c>
      <c r="H201" s="10">
        <f>0</f>
        <v>0</v>
      </c>
    </row>
    <row r="202" spans="1:8" ht="48" x14ac:dyDescent="0.2">
      <c r="A202" s="47"/>
      <c r="B202" s="47"/>
      <c r="C202" s="20" t="s">
        <v>219</v>
      </c>
      <c r="D202" s="35" t="s">
        <v>256</v>
      </c>
      <c r="E202" s="10">
        <f>0</f>
        <v>0</v>
      </c>
      <c r="F202" s="10">
        <f>0</f>
        <v>0</v>
      </c>
      <c r="G202" s="10" t="s">
        <v>1136</v>
      </c>
      <c r="H202" s="10">
        <f>0</f>
        <v>0</v>
      </c>
    </row>
    <row r="203" spans="1:8" ht="48" x14ac:dyDescent="0.2">
      <c r="A203" s="47"/>
      <c r="B203" s="47"/>
      <c r="C203" s="20" t="s">
        <v>221</v>
      </c>
      <c r="D203" s="35" t="s">
        <v>257</v>
      </c>
      <c r="E203" s="10">
        <f>0</f>
        <v>0</v>
      </c>
      <c r="F203" s="10">
        <f>0</f>
        <v>0</v>
      </c>
      <c r="G203" s="10" t="s">
        <v>1136</v>
      </c>
      <c r="H203" s="10">
        <f>0</f>
        <v>0</v>
      </c>
    </row>
    <row r="204" spans="1:8" ht="48" x14ac:dyDescent="0.2">
      <c r="A204" s="47"/>
      <c r="B204" s="47"/>
      <c r="C204" s="18" t="s">
        <v>258</v>
      </c>
      <c r="D204" s="35" t="s">
        <v>259</v>
      </c>
      <c r="E204" s="10">
        <f>E205+E206+E207+E208+E209+E210</f>
        <v>23837.74</v>
      </c>
      <c r="F204" s="10">
        <f>F205+F206+F207+F208+F209+F210</f>
        <v>10213.36</v>
      </c>
      <c r="G204" s="10" t="s">
        <v>974</v>
      </c>
      <c r="H204" s="10">
        <f>H205+H206+H207+H208+H209+H210</f>
        <v>10213.36</v>
      </c>
    </row>
    <row r="205" spans="1:8" ht="36" x14ac:dyDescent="0.2">
      <c r="A205" s="47"/>
      <c r="B205" s="47"/>
      <c r="C205" s="20" t="s">
        <v>260</v>
      </c>
      <c r="D205" s="35" t="s">
        <v>261</v>
      </c>
      <c r="E205" s="10">
        <f>22655.8</f>
        <v>22655.8</v>
      </c>
      <c r="F205" s="10">
        <f>10080.25</f>
        <v>10080.25</v>
      </c>
      <c r="G205" s="10" t="s">
        <v>951</v>
      </c>
      <c r="H205" s="10">
        <f>10080.25</f>
        <v>10080.25</v>
      </c>
    </row>
    <row r="206" spans="1:8" ht="48" x14ac:dyDescent="0.2">
      <c r="A206" s="47"/>
      <c r="B206" s="47"/>
      <c r="C206" s="20" t="s">
        <v>262</v>
      </c>
      <c r="D206" s="35" t="s">
        <v>263</v>
      </c>
      <c r="E206" s="10">
        <f>0</f>
        <v>0</v>
      </c>
      <c r="F206" s="10">
        <f>0</f>
        <v>0</v>
      </c>
      <c r="G206" s="10" t="s">
        <v>1136</v>
      </c>
      <c r="H206" s="10">
        <f>0</f>
        <v>0</v>
      </c>
    </row>
    <row r="207" spans="1:8" ht="36" x14ac:dyDescent="0.2">
      <c r="A207" s="47"/>
      <c r="B207" s="47"/>
      <c r="C207" s="20" t="s">
        <v>264</v>
      </c>
      <c r="D207" s="35" t="s">
        <v>265</v>
      </c>
      <c r="E207" s="10">
        <f>2.7</f>
        <v>2.7</v>
      </c>
      <c r="F207" s="10">
        <f>0</f>
        <v>0</v>
      </c>
      <c r="G207" s="10" t="s">
        <v>165</v>
      </c>
      <c r="H207" s="10">
        <f>0</f>
        <v>0</v>
      </c>
    </row>
    <row r="208" spans="1:8" ht="168" x14ac:dyDescent="0.2">
      <c r="A208" s="47"/>
      <c r="B208" s="47"/>
      <c r="C208" s="20" t="s">
        <v>266</v>
      </c>
      <c r="D208" s="35" t="s">
        <v>267</v>
      </c>
      <c r="E208" s="10">
        <f>788.49</f>
        <v>788.49</v>
      </c>
      <c r="F208" s="10">
        <f>123.51</f>
        <v>123.51</v>
      </c>
      <c r="G208" s="10" t="s">
        <v>975</v>
      </c>
      <c r="H208" s="10">
        <f>123.51</f>
        <v>123.51</v>
      </c>
    </row>
    <row r="209" spans="1:8" ht="84" x14ac:dyDescent="0.2">
      <c r="A209" s="47"/>
      <c r="B209" s="47"/>
      <c r="C209" s="20" t="s">
        <v>268</v>
      </c>
      <c r="D209" s="35" t="s">
        <v>269</v>
      </c>
      <c r="E209" s="10">
        <f>65.2</f>
        <v>65.2</v>
      </c>
      <c r="F209" s="10">
        <f>9.6</f>
        <v>9.6</v>
      </c>
      <c r="G209" s="10" t="s">
        <v>976</v>
      </c>
      <c r="H209" s="10">
        <f>9.6</f>
        <v>9.6</v>
      </c>
    </row>
    <row r="210" spans="1:8" ht="36" x14ac:dyDescent="0.2">
      <c r="A210" s="47"/>
      <c r="B210" s="47"/>
      <c r="C210" s="20" t="s">
        <v>270</v>
      </c>
      <c r="D210" s="35" t="s">
        <v>271</v>
      </c>
      <c r="E210" s="10">
        <f>325.55</f>
        <v>325.55</v>
      </c>
      <c r="F210" s="10">
        <f>0</f>
        <v>0</v>
      </c>
      <c r="G210" s="10" t="s">
        <v>165</v>
      </c>
      <c r="H210" s="10">
        <f>0</f>
        <v>0</v>
      </c>
    </row>
    <row r="211" spans="1:8" s="19" customFormat="1" ht="36" x14ac:dyDescent="0.2">
      <c r="A211" s="47"/>
      <c r="B211" s="47"/>
      <c r="C211" s="15" t="s">
        <v>11</v>
      </c>
      <c r="D211" s="34" t="s">
        <v>272</v>
      </c>
      <c r="E211" s="17">
        <f>E212+E215+E219</f>
        <v>1692</v>
      </c>
      <c r="F211" s="17">
        <f>F212+F215+F219</f>
        <v>1073.1600000000001</v>
      </c>
      <c r="G211" s="17" t="s">
        <v>977</v>
      </c>
      <c r="H211" s="17">
        <f>H212+H215+H219</f>
        <v>1073.1600000000001</v>
      </c>
    </row>
    <row r="212" spans="1:8" ht="48" x14ac:dyDescent="0.2">
      <c r="A212" s="47"/>
      <c r="B212" s="47"/>
      <c r="C212" s="18" t="s">
        <v>178</v>
      </c>
      <c r="D212" s="35" t="s">
        <v>273</v>
      </c>
      <c r="E212" s="10">
        <f>E213+E214</f>
        <v>0</v>
      </c>
      <c r="F212" s="10">
        <f>F213+F214</f>
        <v>0</v>
      </c>
      <c r="G212" s="10" t="s">
        <v>1136</v>
      </c>
      <c r="H212" s="10">
        <f>H213+H214</f>
        <v>0</v>
      </c>
    </row>
    <row r="213" spans="1:8" ht="48" x14ac:dyDescent="0.2">
      <c r="A213" s="47"/>
      <c r="B213" s="47"/>
      <c r="C213" s="20" t="s">
        <v>14</v>
      </c>
      <c r="D213" s="35" t="s">
        <v>274</v>
      </c>
      <c r="E213" s="10">
        <f>0</f>
        <v>0</v>
      </c>
      <c r="F213" s="10">
        <f>0</f>
        <v>0</v>
      </c>
      <c r="G213" s="10" t="s">
        <v>1136</v>
      </c>
      <c r="H213" s="10">
        <f>0</f>
        <v>0</v>
      </c>
    </row>
    <row r="214" spans="1:8" ht="48" x14ac:dyDescent="0.2">
      <c r="A214" s="47"/>
      <c r="B214" s="47"/>
      <c r="C214" s="20" t="s">
        <v>15</v>
      </c>
      <c r="D214" s="35" t="s">
        <v>275</v>
      </c>
      <c r="E214" s="10">
        <f>0</f>
        <v>0</v>
      </c>
      <c r="F214" s="10">
        <f>0</f>
        <v>0</v>
      </c>
      <c r="G214" s="10" t="s">
        <v>1136</v>
      </c>
      <c r="H214" s="10">
        <f>0</f>
        <v>0</v>
      </c>
    </row>
    <row r="215" spans="1:8" ht="36" x14ac:dyDescent="0.2">
      <c r="A215" s="47"/>
      <c r="B215" s="47"/>
      <c r="C215" s="18" t="s">
        <v>187</v>
      </c>
      <c r="D215" s="35" t="s">
        <v>276</v>
      </c>
      <c r="E215" s="10">
        <f>E216+E217+E218</f>
        <v>1692</v>
      </c>
      <c r="F215" s="10">
        <f>F216+F217+F218</f>
        <v>1073.1600000000001</v>
      </c>
      <c r="G215" s="10" t="s">
        <v>977</v>
      </c>
      <c r="H215" s="10">
        <f>H216+H217+H218</f>
        <v>1073.1600000000001</v>
      </c>
    </row>
    <row r="216" spans="1:8" ht="36" x14ac:dyDescent="0.2">
      <c r="A216" s="47"/>
      <c r="B216" s="47"/>
      <c r="C216" s="20" t="s">
        <v>98</v>
      </c>
      <c r="D216" s="35" t="s">
        <v>277</v>
      </c>
      <c r="E216" s="10">
        <f>480</f>
        <v>480</v>
      </c>
      <c r="F216" s="10">
        <f>118.8</f>
        <v>118.8</v>
      </c>
      <c r="G216" s="10" t="s">
        <v>978</v>
      </c>
      <c r="H216" s="10">
        <f>118.8</f>
        <v>118.8</v>
      </c>
    </row>
    <row r="217" spans="1:8" ht="48" x14ac:dyDescent="0.2">
      <c r="A217" s="47"/>
      <c r="B217" s="47"/>
      <c r="C217" s="20" t="s">
        <v>190</v>
      </c>
      <c r="D217" s="35" t="s">
        <v>278</v>
      </c>
      <c r="E217" s="10">
        <f>840</f>
        <v>840</v>
      </c>
      <c r="F217" s="10">
        <f>831.6</f>
        <v>831.6</v>
      </c>
      <c r="G217" s="10" t="s">
        <v>175</v>
      </c>
      <c r="H217" s="10">
        <f>831.6</f>
        <v>831.6</v>
      </c>
    </row>
    <row r="218" spans="1:8" ht="48" x14ac:dyDescent="0.2">
      <c r="A218" s="47"/>
      <c r="B218" s="47"/>
      <c r="C218" s="20" t="s">
        <v>192</v>
      </c>
      <c r="D218" s="35" t="s">
        <v>279</v>
      </c>
      <c r="E218" s="10">
        <f>372</f>
        <v>372</v>
      </c>
      <c r="F218" s="10">
        <f>122.76</f>
        <v>122.76</v>
      </c>
      <c r="G218" s="10" t="s">
        <v>979</v>
      </c>
      <c r="H218" s="10">
        <f>122.76</f>
        <v>122.76</v>
      </c>
    </row>
    <row r="219" spans="1:8" ht="48" x14ac:dyDescent="0.2">
      <c r="A219" s="47"/>
      <c r="B219" s="47"/>
      <c r="C219" s="18" t="s">
        <v>202</v>
      </c>
      <c r="D219" s="35" t="s">
        <v>280</v>
      </c>
      <c r="E219" s="10">
        <f>E220+E221</f>
        <v>0</v>
      </c>
      <c r="F219" s="10">
        <f>F220+F221</f>
        <v>0</v>
      </c>
      <c r="G219" s="10" t="s">
        <v>1136</v>
      </c>
      <c r="H219" s="10">
        <f>H220+H221</f>
        <v>0</v>
      </c>
    </row>
    <row r="220" spans="1:8" ht="48" x14ac:dyDescent="0.2">
      <c r="A220" s="47"/>
      <c r="B220" s="47"/>
      <c r="C220" s="20" t="s">
        <v>104</v>
      </c>
      <c r="D220" s="35" t="s">
        <v>281</v>
      </c>
      <c r="E220" s="10">
        <f>0</f>
        <v>0</v>
      </c>
      <c r="F220" s="10">
        <f>0</f>
        <v>0</v>
      </c>
      <c r="G220" s="10" t="s">
        <v>1136</v>
      </c>
      <c r="H220" s="10">
        <f>0</f>
        <v>0</v>
      </c>
    </row>
    <row r="221" spans="1:8" ht="48" x14ac:dyDescent="0.2">
      <c r="A221" s="47"/>
      <c r="B221" s="47"/>
      <c r="C221" s="20" t="s">
        <v>205</v>
      </c>
      <c r="D221" s="35" t="s">
        <v>282</v>
      </c>
      <c r="E221" s="10">
        <f>0</f>
        <v>0</v>
      </c>
      <c r="F221" s="10">
        <f>0</f>
        <v>0</v>
      </c>
      <c r="G221" s="10" t="s">
        <v>1136</v>
      </c>
      <c r="H221" s="10">
        <f>0</f>
        <v>0</v>
      </c>
    </row>
    <row r="222" spans="1:8" s="19" customFormat="1" ht="29.25" customHeight="1" x14ac:dyDescent="0.2">
      <c r="A222" s="47"/>
      <c r="B222" s="47"/>
      <c r="C222" s="15" t="s">
        <v>12</v>
      </c>
      <c r="D222" s="34" t="s">
        <v>283</v>
      </c>
      <c r="E222" s="17">
        <f>E223+E237+E279+E299+E308</f>
        <v>11843.97</v>
      </c>
      <c r="F222" s="17">
        <f>F223+F237+F279+F299+F308</f>
        <v>3608.8599999999997</v>
      </c>
      <c r="G222" s="17" t="s">
        <v>980</v>
      </c>
      <c r="H222" s="17">
        <f>H223+H237+H279+H299+H308</f>
        <v>3608.8599999999997</v>
      </c>
    </row>
    <row r="223" spans="1:8" ht="36" x14ac:dyDescent="0.2">
      <c r="A223" s="47"/>
      <c r="B223" s="47"/>
      <c r="C223" s="18" t="s">
        <v>178</v>
      </c>
      <c r="D223" s="35" t="s">
        <v>284</v>
      </c>
      <c r="E223" s="10">
        <f>E224+E225+E226+E227+E228+E229+E230+E231+E232+E233+E234+E235+E236</f>
        <v>1101.1599999999999</v>
      </c>
      <c r="F223" s="10">
        <f>F224+F225+F226+F227+F228+F229+F230+F231+F232+F233+F234+F235+F236</f>
        <v>240.26999999999998</v>
      </c>
      <c r="G223" s="10" t="s">
        <v>981</v>
      </c>
      <c r="H223" s="10">
        <f>H224+H225+H226+H227+H228+H229+H230+H231+H232+H233+H234+H235+H236</f>
        <v>240.26999999999998</v>
      </c>
    </row>
    <row r="224" spans="1:8" ht="48" x14ac:dyDescent="0.2">
      <c r="A224" s="47"/>
      <c r="B224" s="47"/>
      <c r="C224" s="20" t="s">
        <v>14</v>
      </c>
      <c r="D224" s="35" t="s">
        <v>285</v>
      </c>
      <c r="E224" s="10">
        <f>0</f>
        <v>0</v>
      </c>
      <c r="F224" s="10">
        <f>0</f>
        <v>0</v>
      </c>
      <c r="G224" s="10" t="s">
        <v>1136</v>
      </c>
      <c r="H224" s="10">
        <f>0</f>
        <v>0</v>
      </c>
    </row>
    <row r="225" spans="1:8" ht="60" x14ac:dyDescent="0.2">
      <c r="A225" s="47"/>
      <c r="B225" s="47"/>
      <c r="C225" s="20" t="s">
        <v>15</v>
      </c>
      <c r="D225" s="35" t="s">
        <v>286</v>
      </c>
      <c r="E225" s="10">
        <f>0</f>
        <v>0</v>
      </c>
      <c r="F225" s="10">
        <f>0</f>
        <v>0</v>
      </c>
      <c r="G225" s="10" t="s">
        <v>1136</v>
      </c>
      <c r="H225" s="10">
        <f>0</f>
        <v>0</v>
      </c>
    </row>
    <row r="226" spans="1:8" ht="48" x14ac:dyDescent="0.2">
      <c r="A226" s="47"/>
      <c r="B226" s="47"/>
      <c r="C226" s="20" t="s">
        <v>17</v>
      </c>
      <c r="D226" s="35" t="s">
        <v>287</v>
      </c>
      <c r="E226" s="10">
        <f>0</f>
        <v>0</v>
      </c>
      <c r="F226" s="10">
        <f>0</f>
        <v>0</v>
      </c>
      <c r="G226" s="10" t="s">
        <v>1136</v>
      </c>
      <c r="H226" s="10">
        <f>0</f>
        <v>0</v>
      </c>
    </row>
    <row r="227" spans="1:8" ht="48" x14ac:dyDescent="0.2">
      <c r="A227" s="47"/>
      <c r="B227" s="47"/>
      <c r="C227" s="20" t="s">
        <v>19</v>
      </c>
      <c r="D227" s="35" t="s">
        <v>288</v>
      </c>
      <c r="E227" s="10">
        <f>0</f>
        <v>0</v>
      </c>
      <c r="F227" s="10">
        <f>0</f>
        <v>0</v>
      </c>
      <c r="G227" s="10" t="s">
        <v>1136</v>
      </c>
      <c r="H227" s="10">
        <f>0</f>
        <v>0</v>
      </c>
    </row>
    <row r="228" spans="1:8" ht="36" x14ac:dyDescent="0.2">
      <c r="A228" s="47"/>
      <c r="B228" s="47"/>
      <c r="C228" s="20" t="s">
        <v>21</v>
      </c>
      <c r="D228" s="35" t="s">
        <v>289</v>
      </c>
      <c r="E228" s="10">
        <f>90</f>
        <v>90</v>
      </c>
      <c r="F228" s="10">
        <f>21.04</f>
        <v>21.04</v>
      </c>
      <c r="G228" s="10" t="s">
        <v>982</v>
      </c>
      <c r="H228" s="10">
        <f>21.04</f>
        <v>21.04</v>
      </c>
    </row>
    <row r="229" spans="1:8" ht="60" x14ac:dyDescent="0.2">
      <c r="A229" s="47"/>
      <c r="B229" s="47"/>
      <c r="C229" s="20" t="s">
        <v>23</v>
      </c>
      <c r="D229" s="35" t="s">
        <v>290</v>
      </c>
      <c r="E229" s="10">
        <f>0</f>
        <v>0</v>
      </c>
      <c r="F229" s="10">
        <f>0</f>
        <v>0</v>
      </c>
      <c r="G229" s="10" t="s">
        <v>1136</v>
      </c>
      <c r="H229" s="10">
        <f>0</f>
        <v>0</v>
      </c>
    </row>
    <row r="230" spans="1:8" ht="48" x14ac:dyDescent="0.2">
      <c r="A230" s="47"/>
      <c r="B230" s="47"/>
      <c r="C230" s="20" t="s">
        <v>25</v>
      </c>
      <c r="D230" s="35" t="s">
        <v>291</v>
      </c>
      <c r="E230" s="10">
        <f>526.16</f>
        <v>526.16</v>
      </c>
      <c r="F230" s="10">
        <f>219.23</f>
        <v>219.23</v>
      </c>
      <c r="G230" s="10" t="s">
        <v>984</v>
      </c>
      <c r="H230" s="10">
        <f>219.23</f>
        <v>219.23</v>
      </c>
    </row>
    <row r="231" spans="1:8" ht="48" x14ac:dyDescent="0.2">
      <c r="A231" s="47"/>
      <c r="B231" s="47"/>
      <c r="C231" s="20" t="s">
        <v>27</v>
      </c>
      <c r="D231" s="35" t="s">
        <v>292</v>
      </c>
      <c r="E231" s="10">
        <f>0</f>
        <v>0</v>
      </c>
      <c r="F231" s="10">
        <f>0</f>
        <v>0</v>
      </c>
      <c r="G231" s="10" t="s">
        <v>1136</v>
      </c>
      <c r="H231" s="10">
        <f>0</f>
        <v>0</v>
      </c>
    </row>
    <row r="232" spans="1:8" ht="36" x14ac:dyDescent="0.2">
      <c r="A232" s="47"/>
      <c r="B232" s="47"/>
      <c r="C232" s="20" t="s">
        <v>29</v>
      </c>
      <c r="D232" s="35" t="s">
        <v>293</v>
      </c>
      <c r="E232" s="10">
        <f>100</f>
        <v>100</v>
      </c>
      <c r="F232" s="10">
        <f>0</f>
        <v>0</v>
      </c>
      <c r="G232" s="10" t="s">
        <v>165</v>
      </c>
      <c r="H232" s="10">
        <f>0</f>
        <v>0</v>
      </c>
    </row>
    <row r="233" spans="1:8" ht="60" x14ac:dyDescent="0.2">
      <c r="A233" s="47"/>
      <c r="B233" s="47"/>
      <c r="C233" s="20" t="s">
        <v>31</v>
      </c>
      <c r="D233" s="35" t="s">
        <v>294</v>
      </c>
      <c r="E233" s="10">
        <f>0</f>
        <v>0</v>
      </c>
      <c r="F233" s="10">
        <f>0</f>
        <v>0</v>
      </c>
      <c r="G233" s="10" t="s">
        <v>1136</v>
      </c>
      <c r="H233" s="10">
        <f>0</f>
        <v>0</v>
      </c>
    </row>
    <row r="234" spans="1:8" ht="60" x14ac:dyDescent="0.2">
      <c r="A234" s="47"/>
      <c r="B234" s="47"/>
      <c r="C234" s="20" t="s">
        <v>33</v>
      </c>
      <c r="D234" s="35" t="s">
        <v>295</v>
      </c>
      <c r="E234" s="10">
        <f>0</f>
        <v>0</v>
      </c>
      <c r="F234" s="10">
        <f>0</f>
        <v>0</v>
      </c>
      <c r="G234" s="10" t="s">
        <v>1136</v>
      </c>
      <c r="H234" s="10">
        <f>0</f>
        <v>0</v>
      </c>
    </row>
    <row r="235" spans="1:8" ht="60" x14ac:dyDescent="0.2">
      <c r="A235" s="47"/>
      <c r="B235" s="47"/>
      <c r="C235" s="20" t="s">
        <v>35</v>
      </c>
      <c r="D235" s="35" t="s">
        <v>296</v>
      </c>
      <c r="E235" s="10">
        <f>265</f>
        <v>265</v>
      </c>
      <c r="F235" s="10">
        <f>0</f>
        <v>0</v>
      </c>
      <c r="G235" s="10" t="s">
        <v>165</v>
      </c>
      <c r="H235" s="10">
        <f>0</f>
        <v>0</v>
      </c>
    </row>
    <row r="236" spans="1:8" ht="36" x14ac:dyDescent="0.2">
      <c r="A236" s="47"/>
      <c r="B236" s="47"/>
      <c r="C236" s="20" t="s">
        <v>37</v>
      </c>
      <c r="D236" s="35" t="s">
        <v>297</v>
      </c>
      <c r="E236" s="10">
        <f>120</f>
        <v>120</v>
      </c>
      <c r="F236" s="10">
        <f>0</f>
        <v>0</v>
      </c>
      <c r="G236" s="10" t="s">
        <v>165</v>
      </c>
      <c r="H236" s="10">
        <f>0</f>
        <v>0</v>
      </c>
    </row>
    <row r="237" spans="1:8" ht="36" x14ac:dyDescent="0.2">
      <c r="A237" s="47"/>
      <c r="B237" s="47"/>
      <c r="C237" s="18" t="s">
        <v>187</v>
      </c>
      <c r="D237" s="35" t="s">
        <v>298</v>
      </c>
      <c r="E237" s="10">
        <f>E238+E239+E240+E241+E242+E243+E244+E245+E246+E247+E248+E249+E250+E251+E252+E253+E254+E255+E256+E257+E258+E259+++E260+E261+E262+E263+E264+E265++E266++E267+E268++E269+E270+E271+E272+E273+E274+E276+E275+E277+E278</f>
        <v>1875.8</v>
      </c>
      <c r="F237" s="10">
        <f>F238+F239+F240+F241+F242+F243+F244+F245+F246+F247+F248+F249+F250+F251+F252+F253+F254+F255+F256+F257+F258+F259+F260+F261+F262+F263+F264+F265+F266+F267+F268+F269+F270+F271+F272+F273+F274+F275+F276+F277+F278</f>
        <v>626.34999999999991</v>
      </c>
      <c r="G237" s="10" t="s">
        <v>985</v>
      </c>
      <c r="H237" s="10">
        <f>H238+H239+H240+H241+H242+H243+H244+H245+H246+H247+H248+H249+H250+H251+H252+H253+H254+H255+H256+H257+H258+H259+H260+H261+H262+H263+H264+H265+H266+H267+H268+H269+H270+H271+H272+H273+H274+H275+H276+H277+H278</f>
        <v>626.34999999999991</v>
      </c>
    </row>
    <row r="238" spans="1:8" ht="36" x14ac:dyDescent="0.2">
      <c r="A238" s="47"/>
      <c r="B238" s="47"/>
      <c r="C238" s="20" t="s">
        <v>98</v>
      </c>
      <c r="D238" s="35" t="s">
        <v>299</v>
      </c>
      <c r="E238" s="10">
        <f>96.6</f>
        <v>96.6</v>
      </c>
      <c r="F238" s="10">
        <f>40.3</f>
        <v>40.299999999999997</v>
      </c>
      <c r="G238" s="10" t="s">
        <v>984</v>
      </c>
      <c r="H238" s="10">
        <f>40.3</f>
        <v>40.299999999999997</v>
      </c>
    </row>
    <row r="239" spans="1:8" ht="60" x14ac:dyDescent="0.2">
      <c r="A239" s="47"/>
      <c r="B239" s="47"/>
      <c r="C239" s="20" t="s">
        <v>190</v>
      </c>
      <c r="D239" s="35" t="s">
        <v>300</v>
      </c>
      <c r="E239" s="10">
        <f>110.4</f>
        <v>110.4</v>
      </c>
      <c r="F239" s="10">
        <f>46</f>
        <v>46</v>
      </c>
      <c r="G239" s="10" t="s">
        <v>984</v>
      </c>
      <c r="H239" s="10">
        <f>46</f>
        <v>46</v>
      </c>
    </row>
    <row r="240" spans="1:8" ht="60" x14ac:dyDescent="0.2">
      <c r="A240" s="47"/>
      <c r="B240" s="47"/>
      <c r="C240" s="20" t="s">
        <v>192</v>
      </c>
      <c r="D240" s="35" t="s">
        <v>301</v>
      </c>
      <c r="E240" s="10">
        <f>673.4</f>
        <v>673.4</v>
      </c>
      <c r="F240" s="10">
        <f>263.15</f>
        <v>263.14999999999998</v>
      </c>
      <c r="G240" s="10" t="s">
        <v>986</v>
      </c>
      <c r="H240" s="10">
        <f>263.15</f>
        <v>263.14999999999998</v>
      </c>
    </row>
    <row r="241" spans="1:8" ht="48" x14ac:dyDescent="0.2">
      <c r="A241" s="47"/>
      <c r="B241" s="47"/>
      <c r="C241" s="20" t="s">
        <v>194</v>
      </c>
      <c r="D241" s="35" t="s">
        <v>302</v>
      </c>
      <c r="E241" s="10">
        <f>52.8</f>
        <v>52.8</v>
      </c>
      <c r="F241" s="10">
        <f>22</f>
        <v>22</v>
      </c>
      <c r="G241" s="10" t="s">
        <v>984</v>
      </c>
      <c r="H241" s="10">
        <f>22</f>
        <v>22</v>
      </c>
    </row>
    <row r="242" spans="1:8" ht="48" x14ac:dyDescent="0.2">
      <c r="A242" s="47"/>
      <c r="B242" s="47"/>
      <c r="C242" s="20" t="s">
        <v>196</v>
      </c>
      <c r="D242" s="35" t="s">
        <v>303</v>
      </c>
      <c r="E242" s="10">
        <f>92.4</f>
        <v>92.4</v>
      </c>
      <c r="F242" s="10">
        <f>5.5</f>
        <v>5.5</v>
      </c>
      <c r="G242" s="10" t="s">
        <v>987</v>
      </c>
      <c r="H242" s="10">
        <f>5.5</f>
        <v>5.5</v>
      </c>
    </row>
    <row r="243" spans="1:8" ht="60" x14ac:dyDescent="0.2">
      <c r="A243" s="47"/>
      <c r="B243" s="47"/>
      <c r="C243" s="20" t="s">
        <v>198</v>
      </c>
      <c r="D243" s="35" t="s">
        <v>304</v>
      </c>
      <c r="E243" s="10">
        <f>0</f>
        <v>0</v>
      </c>
      <c r="F243" s="10">
        <f>0</f>
        <v>0</v>
      </c>
      <c r="G243" s="10" t="s">
        <v>1136</v>
      </c>
      <c r="H243" s="10">
        <f>0</f>
        <v>0</v>
      </c>
    </row>
    <row r="244" spans="1:8" ht="36" x14ac:dyDescent="0.2">
      <c r="A244" s="47"/>
      <c r="B244" s="47"/>
      <c r="C244" s="20" t="s">
        <v>200</v>
      </c>
      <c r="D244" s="35" t="s">
        <v>305</v>
      </c>
      <c r="E244" s="10">
        <f>66</f>
        <v>66</v>
      </c>
      <c r="F244" s="10">
        <f>27.5</f>
        <v>27.5</v>
      </c>
      <c r="G244" s="10" t="s">
        <v>984</v>
      </c>
      <c r="H244" s="10">
        <f>27.5</f>
        <v>27.5</v>
      </c>
    </row>
    <row r="245" spans="1:8" ht="48" x14ac:dyDescent="0.2">
      <c r="A245" s="47"/>
      <c r="B245" s="47"/>
      <c r="C245" s="20" t="s">
        <v>306</v>
      </c>
      <c r="D245" s="35" t="s">
        <v>307</v>
      </c>
      <c r="E245" s="10">
        <f>0</f>
        <v>0</v>
      </c>
      <c r="F245" s="10">
        <f>0</f>
        <v>0</v>
      </c>
      <c r="G245" s="10" t="s">
        <v>1136</v>
      </c>
      <c r="H245" s="10">
        <f>0</f>
        <v>0</v>
      </c>
    </row>
    <row r="246" spans="1:8" ht="48" x14ac:dyDescent="0.2">
      <c r="A246" s="47"/>
      <c r="B246" s="47"/>
      <c r="C246" s="20" t="s">
        <v>308</v>
      </c>
      <c r="D246" s="35" t="s">
        <v>309</v>
      </c>
      <c r="E246" s="10">
        <f>0</f>
        <v>0</v>
      </c>
      <c r="F246" s="10">
        <f>0</f>
        <v>0</v>
      </c>
      <c r="G246" s="10" t="s">
        <v>1136</v>
      </c>
      <c r="H246" s="10">
        <f>0</f>
        <v>0</v>
      </c>
    </row>
    <row r="247" spans="1:8" ht="36" x14ac:dyDescent="0.2">
      <c r="A247" s="47"/>
      <c r="B247" s="47"/>
      <c r="C247" s="20" t="s">
        <v>310</v>
      </c>
      <c r="D247" s="35" t="s">
        <v>311</v>
      </c>
      <c r="E247" s="10">
        <f>81.6</f>
        <v>81.599999999999994</v>
      </c>
      <c r="F247" s="10">
        <f>20.4</f>
        <v>20.399999999999999</v>
      </c>
      <c r="G247" s="10" t="s">
        <v>988</v>
      </c>
      <c r="H247" s="10">
        <f>20.4</f>
        <v>20.399999999999999</v>
      </c>
    </row>
    <row r="248" spans="1:8" ht="48" x14ac:dyDescent="0.2">
      <c r="A248" s="47"/>
      <c r="B248" s="47"/>
      <c r="C248" s="20" t="s">
        <v>312</v>
      </c>
      <c r="D248" s="35" t="s">
        <v>313</v>
      </c>
      <c r="E248" s="10">
        <f>0</f>
        <v>0</v>
      </c>
      <c r="F248" s="10">
        <f>0</f>
        <v>0</v>
      </c>
      <c r="G248" s="10" t="s">
        <v>1136</v>
      </c>
      <c r="H248" s="10">
        <f>0</f>
        <v>0</v>
      </c>
    </row>
    <row r="249" spans="1:8" ht="48" x14ac:dyDescent="0.2">
      <c r="A249" s="47"/>
      <c r="B249" s="47"/>
      <c r="C249" s="20" t="s">
        <v>314</v>
      </c>
      <c r="D249" s="35" t="s">
        <v>315</v>
      </c>
      <c r="E249" s="10">
        <f>0</f>
        <v>0</v>
      </c>
      <c r="F249" s="10">
        <f>0</f>
        <v>0</v>
      </c>
      <c r="G249" s="10" t="s">
        <v>1136</v>
      </c>
      <c r="H249" s="10">
        <f>0</f>
        <v>0</v>
      </c>
    </row>
    <row r="250" spans="1:8" ht="48" x14ac:dyDescent="0.2">
      <c r="A250" s="47"/>
      <c r="B250" s="47"/>
      <c r="C250" s="20" t="s">
        <v>316</v>
      </c>
      <c r="D250" s="35" t="s">
        <v>317</v>
      </c>
      <c r="E250" s="10">
        <f>0</f>
        <v>0</v>
      </c>
      <c r="F250" s="10">
        <f>0</f>
        <v>0</v>
      </c>
      <c r="G250" s="10" t="s">
        <v>1136</v>
      </c>
      <c r="H250" s="10">
        <f>0</f>
        <v>0</v>
      </c>
    </row>
    <row r="251" spans="1:8" ht="48" x14ac:dyDescent="0.2">
      <c r="A251" s="47"/>
      <c r="B251" s="47"/>
      <c r="C251" s="20" t="s">
        <v>318</v>
      </c>
      <c r="D251" s="35" t="s">
        <v>319</v>
      </c>
      <c r="E251" s="10">
        <f>0</f>
        <v>0</v>
      </c>
      <c r="F251" s="10">
        <f>0</f>
        <v>0</v>
      </c>
      <c r="G251" s="10" t="s">
        <v>1136</v>
      </c>
      <c r="H251" s="10">
        <f>0</f>
        <v>0</v>
      </c>
    </row>
    <row r="252" spans="1:8" ht="60" x14ac:dyDescent="0.2">
      <c r="A252" s="47"/>
      <c r="B252" s="47"/>
      <c r="C252" s="20" t="s">
        <v>320</v>
      </c>
      <c r="D252" s="35" t="s">
        <v>321</v>
      </c>
      <c r="E252" s="10">
        <f>0</f>
        <v>0</v>
      </c>
      <c r="F252" s="10">
        <f>0</f>
        <v>0</v>
      </c>
      <c r="G252" s="10" t="s">
        <v>1136</v>
      </c>
      <c r="H252" s="10">
        <f>0</f>
        <v>0</v>
      </c>
    </row>
    <row r="253" spans="1:8" ht="48" x14ac:dyDescent="0.2">
      <c r="A253" s="47"/>
      <c r="B253" s="47"/>
      <c r="C253" s="20" t="s">
        <v>322</v>
      </c>
      <c r="D253" s="35" t="s">
        <v>323</v>
      </c>
      <c r="E253" s="10">
        <f>0</f>
        <v>0</v>
      </c>
      <c r="F253" s="10">
        <f>0</f>
        <v>0</v>
      </c>
      <c r="G253" s="10" t="s">
        <v>1136</v>
      </c>
      <c r="H253" s="10">
        <f>0</f>
        <v>0</v>
      </c>
    </row>
    <row r="254" spans="1:8" ht="48" x14ac:dyDescent="0.2">
      <c r="A254" s="47"/>
      <c r="B254" s="47"/>
      <c r="C254" s="20" t="s">
        <v>324</v>
      </c>
      <c r="D254" s="35" t="s">
        <v>325</v>
      </c>
      <c r="E254" s="10">
        <f>0</f>
        <v>0</v>
      </c>
      <c r="F254" s="10">
        <f>0</f>
        <v>0</v>
      </c>
      <c r="G254" s="10" t="s">
        <v>1136</v>
      </c>
      <c r="H254" s="10">
        <f>0</f>
        <v>0</v>
      </c>
    </row>
    <row r="255" spans="1:8" ht="36" x14ac:dyDescent="0.2">
      <c r="A255" s="47"/>
      <c r="B255" s="47"/>
      <c r="C255" s="20" t="s">
        <v>326</v>
      </c>
      <c r="D255" s="35" t="s">
        <v>327</v>
      </c>
      <c r="E255" s="10">
        <f>41.4</f>
        <v>41.4</v>
      </c>
      <c r="F255" s="10">
        <f>15</f>
        <v>15</v>
      </c>
      <c r="G255" s="10" t="s">
        <v>989</v>
      </c>
      <c r="H255" s="10">
        <f>15</f>
        <v>15</v>
      </c>
    </row>
    <row r="256" spans="1:8" ht="36" x14ac:dyDescent="0.2">
      <c r="A256" s="47"/>
      <c r="B256" s="47"/>
      <c r="C256" s="20" t="s">
        <v>328</v>
      </c>
      <c r="D256" s="35" t="s">
        <v>329</v>
      </c>
      <c r="E256" s="10">
        <f>13.2</f>
        <v>13.2</v>
      </c>
      <c r="F256" s="10">
        <f>0</f>
        <v>0</v>
      </c>
      <c r="G256" s="10" t="s">
        <v>165</v>
      </c>
      <c r="H256" s="10">
        <f>0</f>
        <v>0</v>
      </c>
    </row>
    <row r="257" spans="1:8" ht="36" x14ac:dyDescent="0.2">
      <c r="A257" s="47"/>
      <c r="B257" s="47"/>
      <c r="C257" s="20" t="s">
        <v>330</v>
      </c>
      <c r="D257" s="35" t="s">
        <v>331</v>
      </c>
      <c r="E257" s="10">
        <f>15</f>
        <v>15</v>
      </c>
      <c r="F257" s="10">
        <f>0</f>
        <v>0</v>
      </c>
      <c r="G257" s="10" t="s">
        <v>165</v>
      </c>
      <c r="H257" s="10">
        <f>0</f>
        <v>0</v>
      </c>
    </row>
    <row r="258" spans="1:8" ht="36" x14ac:dyDescent="0.2">
      <c r="A258" s="47"/>
      <c r="B258" s="47"/>
      <c r="C258" s="20" t="s">
        <v>332</v>
      </c>
      <c r="D258" s="35" t="s">
        <v>333</v>
      </c>
      <c r="E258" s="10">
        <f>9</f>
        <v>9</v>
      </c>
      <c r="F258" s="10">
        <f>0</f>
        <v>0</v>
      </c>
      <c r="G258" s="10" t="s">
        <v>165</v>
      </c>
      <c r="H258" s="10">
        <f>0</f>
        <v>0</v>
      </c>
    </row>
    <row r="259" spans="1:8" ht="36" x14ac:dyDescent="0.2">
      <c r="A259" s="47"/>
      <c r="B259" s="47"/>
      <c r="C259" s="20" t="s">
        <v>334</v>
      </c>
      <c r="D259" s="35" t="s">
        <v>335</v>
      </c>
      <c r="E259" s="10">
        <f>23</f>
        <v>23</v>
      </c>
      <c r="F259" s="10">
        <f>0</f>
        <v>0</v>
      </c>
      <c r="G259" s="10" t="s">
        <v>165</v>
      </c>
      <c r="H259" s="10">
        <f>0</f>
        <v>0</v>
      </c>
    </row>
    <row r="260" spans="1:8" ht="36" x14ac:dyDescent="0.2">
      <c r="A260" s="47"/>
      <c r="B260" s="47"/>
      <c r="C260" s="20" t="s">
        <v>336</v>
      </c>
      <c r="D260" s="35" t="s">
        <v>337</v>
      </c>
      <c r="E260" s="10">
        <f>5</f>
        <v>5</v>
      </c>
      <c r="F260" s="10">
        <f>0</f>
        <v>0</v>
      </c>
      <c r="G260" s="10" t="s">
        <v>165</v>
      </c>
      <c r="H260" s="10">
        <f>0</f>
        <v>0</v>
      </c>
    </row>
    <row r="261" spans="1:8" ht="48" x14ac:dyDescent="0.2">
      <c r="A261" s="47"/>
      <c r="B261" s="47"/>
      <c r="C261" s="20" t="s">
        <v>338</v>
      </c>
      <c r="D261" s="35" t="s">
        <v>339</v>
      </c>
      <c r="E261" s="10">
        <f>0</f>
        <v>0</v>
      </c>
      <c r="F261" s="10">
        <f>0</f>
        <v>0</v>
      </c>
      <c r="G261" s="10" t="s">
        <v>1136</v>
      </c>
      <c r="H261" s="10">
        <f>0</f>
        <v>0</v>
      </c>
    </row>
    <row r="262" spans="1:8" ht="48" x14ac:dyDescent="0.2">
      <c r="A262" s="47"/>
      <c r="B262" s="47"/>
      <c r="C262" s="20" t="s">
        <v>340</v>
      </c>
      <c r="D262" s="35" t="s">
        <v>341</v>
      </c>
      <c r="E262" s="10">
        <f>0</f>
        <v>0</v>
      </c>
      <c r="F262" s="10">
        <f>0</f>
        <v>0</v>
      </c>
      <c r="G262" s="10" t="s">
        <v>1136</v>
      </c>
      <c r="H262" s="10">
        <f>0</f>
        <v>0</v>
      </c>
    </row>
    <row r="263" spans="1:8" ht="48" x14ac:dyDescent="0.2">
      <c r="A263" s="47"/>
      <c r="B263" s="47"/>
      <c r="C263" s="20" t="s">
        <v>342</v>
      </c>
      <c r="D263" s="35" t="s">
        <v>343</v>
      </c>
      <c r="E263" s="10">
        <f>0</f>
        <v>0</v>
      </c>
      <c r="F263" s="10">
        <f>0</f>
        <v>0</v>
      </c>
      <c r="G263" s="10" t="s">
        <v>1136</v>
      </c>
      <c r="H263" s="10">
        <f>0</f>
        <v>0</v>
      </c>
    </row>
    <row r="264" spans="1:8" ht="48" x14ac:dyDescent="0.2">
      <c r="A264" s="47"/>
      <c r="B264" s="47"/>
      <c r="C264" s="20" t="s">
        <v>344</v>
      </c>
      <c r="D264" s="35" t="s">
        <v>345</v>
      </c>
      <c r="E264" s="10">
        <f>0</f>
        <v>0</v>
      </c>
      <c r="F264" s="10">
        <f>0</f>
        <v>0</v>
      </c>
      <c r="G264" s="10" t="s">
        <v>1136</v>
      </c>
      <c r="H264" s="10">
        <f>0</f>
        <v>0</v>
      </c>
    </row>
    <row r="265" spans="1:8" ht="48" x14ac:dyDescent="0.2">
      <c r="A265" s="47"/>
      <c r="B265" s="47"/>
      <c r="C265" s="20" t="s">
        <v>346</v>
      </c>
      <c r="D265" s="35" t="s">
        <v>347</v>
      </c>
      <c r="E265" s="10">
        <f>0</f>
        <v>0</v>
      </c>
      <c r="F265" s="10">
        <f>0</f>
        <v>0</v>
      </c>
      <c r="G265" s="10" t="s">
        <v>1136</v>
      </c>
      <c r="H265" s="10">
        <f>0</f>
        <v>0</v>
      </c>
    </row>
    <row r="266" spans="1:8" ht="36" x14ac:dyDescent="0.2">
      <c r="A266" s="47"/>
      <c r="B266" s="47"/>
      <c r="C266" s="20" t="s">
        <v>348</v>
      </c>
      <c r="D266" s="35" t="s">
        <v>349</v>
      </c>
      <c r="E266" s="10">
        <f>58.8</f>
        <v>58.8</v>
      </c>
      <c r="F266" s="10">
        <f>21.5</f>
        <v>21.5</v>
      </c>
      <c r="G266" s="10" t="s">
        <v>990</v>
      </c>
      <c r="H266" s="10">
        <f>21.5</f>
        <v>21.5</v>
      </c>
    </row>
    <row r="267" spans="1:8" ht="48" x14ac:dyDescent="0.2">
      <c r="A267" s="47"/>
      <c r="B267" s="47"/>
      <c r="C267" s="20" t="s">
        <v>350</v>
      </c>
      <c r="D267" s="35" t="s">
        <v>351</v>
      </c>
      <c r="E267" s="10">
        <f>0</f>
        <v>0</v>
      </c>
      <c r="F267" s="10">
        <f>0</f>
        <v>0</v>
      </c>
      <c r="G267" s="10" t="s">
        <v>1136</v>
      </c>
      <c r="H267" s="10">
        <f>0</f>
        <v>0</v>
      </c>
    </row>
    <row r="268" spans="1:8" ht="36" x14ac:dyDescent="0.2">
      <c r="A268" s="47"/>
      <c r="B268" s="47"/>
      <c r="C268" s="20" t="s">
        <v>352</v>
      </c>
      <c r="D268" s="35" t="s">
        <v>353</v>
      </c>
      <c r="E268" s="10">
        <f>58.8</f>
        <v>58.8</v>
      </c>
      <c r="F268" s="10">
        <f>24.5</f>
        <v>24.5</v>
      </c>
      <c r="G268" s="10" t="s">
        <v>984</v>
      </c>
      <c r="H268" s="10">
        <f>24.5</f>
        <v>24.5</v>
      </c>
    </row>
    <row r="269" spans="1:8" ht="48" x14ac:dyDescent="0.2">
      <c r="A269" s="47"/>
      <c r="B269" s="47"/>
      <c r="C269" s="20" t="s">
        <v>354</v>
      </c>
      <c r="D269" s="35" t="s">
        <v>355</v>
      </c>
      <c r="E269" s="10">
        <f>0</f>
        <v>0</v>
      </c>
      <c r="F269" s="10">
        <f>0</f>
        <v>0</v>
      </c>
      <c r="G269" s="10" t="s">
        <v>1136</v>
      </c>
      <c r="H269" s="10">
        <f>0</f>
        <v>0</v>
      </c>
    </row>
    <row r="270" spans="1:8" ht="36" x14ac:dyDescent="0.2">
      <c r="A270" s="47"/>
      <c r="B270" s="47"/>
      <c r="C270" s="20" t="s">
        <v>356</v>
      </c>
      <c r="D270" s="35" t="s">
        <v>357</v>
      </c>
      <c r="E270" s="10">
        <f>294</f>
        <v>294</v>
      </c>
      <c r="F270" s="10">
        <f>122.5</f>
        <v>122.5</v>
      </c>
      <c r="G270" s="10" t="s">
        <v>984</v>
      </c>
      <c r="H270" s="10">
        <f>122.5</f>
        <v>122.5</v>
      </c>
    </row>
    <row r="271" spans="1:8" ht="48" x14ac:dyDescent="0.2">
      <c r="A271" s="47"/>
      <c r="B271" s="47"/>
      <c r="C271" s="20" t="s">
        <v>358</v>
      </c>
      <c r="D271" s="35" t="s">
        <v>359</v>
      </c>
      <c r="E271" s="10">
        <f>0</f>
        <v>0</v>
      </c>
      <c r="F271" s="10">
        <f>0</f>
        <v>0</v>
      </c>
      <c r="G271" s="10" t="s">
        <v>1136</v>
      </c>
      <c r="H271" s="10">
        <f>0</f>
        <v>0</v>
      </c>
    </row>
    <row r="272" spans="1:8" ht="36" x14ac:dyDescent="0.2">
      <c r="A272" s="47"/>
      <c r="B272" s="47"/>
      <c r="C272" s="20" t="s">
        <v>360</v>
      </c>
      <c r="D272" s="35" t="s">
        <v>361</v>
      </c>
      <c r="E272" s="10">
        <f>58.8</f>
        <v>58.8</v>
      </c>
      <c r="F272" s="10">
        <f>18</f>
        <v>18</v>
      </c>
      <c r="G272" s="10" t="s">
        <v>991</v>
      </c>
      <c r="H272" s="10">
        <f>18</f>
        <v>18</v>
      </c>
    </row>
    <row r="273" spans="1:8" ht="48" x14ac:dyDescent="0.2">
      <c r="A273" s="47"/>
      <c r="B273" s="47"/>
      <c r="C273" s="20" t="s">
        <v>362</v>
      </c>
      <c r="D273" s="35" t="s">
        <v>363</v>
      </c>
      <c r="E273" s="10">
        <f>0</f>
        <v>0</v>
      </c>
      <c r="F273" s="10">
        <f>0</f>
        <v>0</v>
      </c>
      <c r="G273" s="10" t="s">
        <v>1136</v>
      </c>
      <c r="H273" s="10">
        <f>0</f>
        <v>0</v>
      </c>
    </row>
    <row r="274" spans="1:8" ht="48" x14ac:dyDescent="0.2">
      <c r="A274" s="47"/>
      <c r="B274" s="47"/>
      <c r="C274" s="20" t="s">
        <v>364</v>
      </c>
      <c r="D274" s="35" t="s">
        <v>365</v>
      </c>
      <c r="E274" s="10">
        <f>0</f>
        <v>0</v>
      </c>
      <c r="F274" s="10">
        <f>0</f>
        <v>0</v>
      </c>
      <c r="G274" s="10" t="s">
        <v>1136</v>
      </c>
      <c r="H274" s="10">
        <f>0</f>
        <v>0</v>
      </c>
    </row>
    <row r="275" spans="1:8" ht="48" x14ac:dyDescent="0.2">
      <c r="A275" s="47"/>
      <c r="B275" s="47"/>
      <c r="C275" s="20" t="s">
        <v>366</v>
      </c>
      <c r="D275" s="35" t="s">
        <v>367</v>
      </c>
      <c r="E275" s="10">
        <f>0</f>
        <v>0</v>
      </c>
      <c r="F275" s="10">
        <f>0</f>
        <v>0</v>
      </c>
      <c r="G275" s="10" t="s">
        <v>1136</v>
      </c>
      <c r="H275" s="10">
        <f>0</f>
        <v>0</v>
      </c>
    </row>
    <row r="276" spans="1:8" ht="36" x14ac:dyDescent="0.2">
      <c r="A276" s="47"/>
      <c r="B276" s="47"/>
      <c r="C276" s="20" t="s">
        <v>368</v>
      </c>
      <c r="D276" s="35" t="s">
        <v>369</v>
      </c>
      <c r="E276" s="10">
        <f>69</f>
        <v>69</v>
      </c>
      <c r="F276" s="10">
        <f>0</f>
        <v>0</v>
      </c>
      <c r="G276" s="10" t="s">
        <v>165</v>
      </c>
      <c r="H276" s="10">
        <f>0</f>
        <v>0</v>
      </c>
    </row>
    <row r="277" spans="1:8" ht="36" x14ac:dyDescent="0.2">
      <c r="A277" s="47"/>
      <c r="B277" s="47"/>
      <c r="C277" s="20" t="s">
        <v>370</v>
      </c>
      <c r="D277" s="35" t="s">
        <v>371</v>
      </c>
      <c r="E277" s="10">
        <f>45.9</f>
        <v>45.9</v>
      </c>
      <c r="F277" s="10">
        <f>0</f>
        <v>0</v>
      </c>
      <c r="G277" s="10" t="s">
        <v>165</v>
      </c>
      <c r="H277" s="10">
        <f>0</f>
        <v>0</v>
      </c>
    </row>
    <row r="278" spans="1:8" ht="36" x14ac:dyDescent="0.2">
      <c r="A278" s="47"/>
      <c r="B278" s="47"/>
      <c r="C278" s="20" t="s">
        <v>372</v>
      </c>
      <c r="D278" s="35" t="s">
        <v>373</v>
      </c>
      <c r="E278" s="10">
        <f>10.7</f>
        <v>10.7</v>
      </c>
      <c r="F278" s="10">
        <f>0</f>
        <v>0</v>
      </c>
      <c r="G278" s="10" t="s">
        <v>165</v>
      </c>
      <c r="H278" s="10">
        <f>0</f>
        <v>0</v>
      </c>
    </row>
    <row r="279" spans="1:8" ht="36" x14ac:dyDescent="0.2">
      <c r="A279" s="47"/>
      <c r="B279" s="47"/>
      <c r="C279" s="18" t="s">
        <v>202</v>
      </c>
      <c r="D279" s="35" t="s">
        <v>374</v>
      </c>
      <c r="E279" s="10">
        <f>E280+E281+E282+E283+E284+E285+E286+E287+E288+E289+E290+E291+E292+E293+E294+E295+E296+E297+E298</f>
        <v>8586.7499999999982</v>
      </c>
      <c r="F279" s="10">
        <f>F280+F281+F282+F283+F284+F285+F286+F287+F288+F289+F290+F291+F292+F293+F294+F295+F296+F297+F298</f>
        <v>2650.64</v>
      </c>
      <c r="G279" s="10" t="s">
        <v>992</v>
      </c>
      <c r="H279" s="10">
        <f>H280+H281+H282+H283+H284+H285+H286+H287+H288+H289+H290+H291+H292+H293+H294+H295+H296+H297+H298</f>
        <v>2650.64</v>
      </c>
    </row>
    <row r="280" spans="1:8" ht="36" x14ac:dyDescent="0.2">
      <c r="A280" s="47"/>
      <c r="B280" s="47"/>
      <c r="C280" s="20" t="s">
        <v>104</v>
      </c>
      <c r="D280" s="35" t="s">
        <v>375</v>
      </c>
      <c r="E280" s="10">
        <f>1789.7</f>
        <v>1789.7</v>
      </c>
      <c r="F280" s="10">
        <f>764.73</f>
        <v>764.73</v>
      </c>
      <c r="G280" s="10" t="s">
        <v>993</v>
      </c>
      <c r="H280" s="10">
        <f>764.73</f>
        <v>764.73</v>
      </c>
    </row>
    <row r="281" spans="1:8" ht="48" x14ac:dyDescent="0.2">
      <c r="A281" s="47"/>
      <c r="B281" s="47"/>
      <c r="C281" s="20" t="s">
        <v>205</v>
      </c>
      <c r="D281" s="35" t="s">
        <v>376</v>
      </c>
      <c r="E281" s="10">
        <f>1931.7</f>
        <v>1931.7</v>
      </c>
      <c r="F281" s="10">
        <f>749.28</f>
        <v>749.28</v>
      </c>
      <c r="G281" s="10" t="s">
        <v>994</v>
      </c>
      <c r="H281" s="10">
        <f>749.28</f>
        <v>749.28</v>
      </c>
    </row>
    <row r="282" spans="1:8" ht="60" x14ac:dyDescent="0.2">
      <c r="A282" s="47"/>
      <c r="B282" s="47"/>
      <c r="C282" s="20" t="s">
        <v>207</v>
      </c>
      <c r="D282" s="35" t="s">
        <v>377</v>
      </c>
      <c r="E282" s="10">
        <f>312</f>
        <v>312</v>
      </c>
      <c r="F282" s="10">
        <f>81.3</f>
        <v>81.3</v>
      </c>
      <c r="G282" s="10" t="s">
        <v>995</v>
      </c>
      <c r="H282" s="10">
        <f>81.3</f>
        <v>81.3</v>
      </c>
    </row>
    <row r="283" spans="1:8" ht="48" x14ac:dyDescent="0.2">
      <c r="A283" s="47"/>
      <c r="B283" s="47"/>
      <c r="C283" s="20" t="s">
        <v>244</v>
      </c>
      <c r="D283" s="35" t="s">
        <v>378</v>
      </c>
      <c r="E283" s="10">
        <f>48</f>
        <v>48</v>
      </c>
      <c r="F283" s="10">
        <f>14</f>
        <v>14</v>
      </c>
      <c r="G283" s="10" t="s">
        <v>996</v>
      </c>
      <c r="H283" s="10">
        <f>14</f>
        <v>14</v>
      </c>
    </row>
    <row r="284" spans="1:8" ht="36" x14ac:dyDescent="0.2">
      <c r="A284" s="47"/>
      <c r="B284" s="47"/>
      <c r="C284" s="20" t="s">
        <v>379</v>
      </c>
      <c r="D284" s="35" t="s">
        <v>380</v>
      </c>
      <c r="E284" s="10">
        <f>391.5</f>
        <v>391.5</v>
      </c>
      <c r="F284" s="10">
        <f>30.6</f>
        <v>30.6</v>
      </c>
      <c r="G284" s="10" t="s">
        <v>997</v>
      </c>
      <c r="H284" s="10">
        <f>30.6</f>
        <v>30.6</v>
      </c>
    </row>
    <row r="285" spans="1:8" ht="36" x14ac:dyDescent="0.2">
      <c r="A285" s="47"/>
      <c r="B285" s="47"/>
      <c r="C285" s="20" t="s">
        <v>381</v>
      </c>
      <c r="D285" s="35" t="s">
        <v>382</v>
      </c>
      <c r="E285" s="10">
        <f>325</f>
        <v>325</v>
      </c>
      <c r="F285" s="10">
        <f>0</f>
        <v>0</v>
      </c>
      <c r="G285" s="10" t="s">
        <v>165</v>
      </c>
      <c r="H285" s="10">
        <f>0</f>
        <v>0</v>
      </c>
    </row>
    <row r="286" spans="1:8" ht="36" x14ac:dyDescent="0.2">
      <c r="A286" s="47"/>
      <c r="B286" s="47"/>
      <c r="C286" s="20" t="s">
        <v>383</v>
      </c>
      <c r="D286" s="35" t="s">
        <v>384</v>
      </c>
      <c r="E286" s="10">
        <f>519.3</f>
        <v>519.29999999999995</v>
      </c>
      <c r="F286" s="10">
        <f>156.38</f>
        <v>156.38</v>
      </c>
      <c r="G286" s="10" t="s">
        <v>998</v>
      </c>
      <c r="H286" s="10">
        <f>156.38</f>
        <v>156.38</v>
      </c>
    </row>
    <row r="287" spans="1:8" ht="36" x14ac:dyDescent="0.2">
      <c r="A287" s="47"/>
      <c r="B287" s="47"/>
      <c r="C287" s="20" t="s">
        <v>385</v>
      </c>
      <c r="D287" s="35" t="s">
        <v>386</v>
      </c>
      <c r="E287" s="10">
        <f>1618.79</f>
        <v>1618.79</v>
      </c>
      <c r="F287" s="10">
        <f>639.58</f>
        <v>639.58000000000004</v>
      </c>
      <c r="G287" s="10" t="s">
        <v>172</v>
      </c>
      <c r="H287" s="10">
        <f>639.58</f>
        <v>639.58000000000004</v>
      </c>
    </row>
    <row r="288" spans="1:8" ht="36" x14ac:dyDescent="0.2">
      <c r="A288" s="47"/>
      <c r="B288" s="47"/>
      <c r="C288" s="20" t="s">
        <v>387</v>
      </c>
      <c r="D288" s="35" t="s">
        <v>388</v>
      </c>
      <c r="E288" s="10">
        <f>993.66</f>
        <v>993.66</v>
      </c>
      <c r="F288" s="10">
        <f>108.83</f>
        <v>108.83</v>
      </c>
      <c r="G288" s="10" t="s">
        <v>999</v>
      </c>
      <c r="H288" s="10">
        <f>108.83</f>
        <v>108.83</v>
      </c>
    </row>
    <row r="289" spans="1:8" ht="48" x14ac:dyDescent="0.2">
      <c r="A289" s="47"/>
      <c r="B289" s="47"/>
      <c r="C289" s="20" t="s">
        <v>389</v>
      </c>
      <c r="D289" s="35" t="s">
        <v>390</v>
      </c>
      <c r="E289" s="10">
        <f>0</f>
        <v>0</v>
      </c>
      <c r="F289" s="10">
        <f>0</f>
        <v>0</v>
      </c>
      <c r="G289" s="10" t="s">
        <v>1136</v>
      </c>
      <c r="H289" s="10">
        <f>0</f>
        <v>0</v>
      </c>
    </row>
    <row r="290" spans="1:8" ht="36" x14ac:dyDescent="0.2">
      <c r="A290" s="47"/>
      <c r="B290" s="47"/>
      <c r="C290" s="20" t="s">
        <v>391</v>
      </c>
      <c r="D290" s="35" t="s">
        <v>392</v>
      </c>
      <c r="E290" s="10">
        <f>401.8</f>
        <v>401.8</v>
      </c>
      <c r="F290" s="10">
        <f>70.9</f>
        <v>70.900000000000006</v>
      </c>
      <c r="G290" s="10" t="s">
        <v>1000</v>
      </c>
      <c r="H290" s="10">
        <f>70.9</f>
        <v>70.900000000000006</v>
      </c>
    </row>
    <row r="291" spans="1:8" ht="48" x14ac:dyDescent="0.2">
      <c r="A291" s="47"/>
      <c r="B291" s="47"/>
      <c r="C291" s="20" t="s">
        <v>393</v>
      </c>
      <c r="D291" s="35" t="s">
        <v>394</v>
      </c>
      <c r="E291" s="10">
        <f>0</f>
        <v>0</v>
      </c>
      <c r="F291" s="10">
        <f>0</f>
        <v>0</v>
      </c>
      <c r="G291" s="10" t="s">
        <v>1136</v>
      </c>
      <c r="H291" s="10">
        <f>0</f>
        <v>0</v>
      </c>
    </row>
    <row r="292" spans="1:8" ht="48" x14ac:dyDescent="0.2">
      <c r="A292" s="47"/>
      <c r="B292" s="47"/>
      <c r="C292" s="20" t="s">
        <v>395</v>
      </c>
      <c r="D292" s="35" t="s">
        <v>396</v>
      </c>
      <c r="E292" s="10">
        <f>170.3</f>
        <v>170.3</v>
      </c>
      <c r="F292" s="10">
        <f>35.04</f>
        <v>35.04</v>
      </c>
      <c r="G292" s="10" t="s">
        <v>1001</v>
      </c>
      <c r="H292" s="10">
        <f>35.04</f>
        <v>35.04</v>
      </c>
    </row>
    <row r="293" spans="1:8" ht="48" x14ac:dyDescent="0.2">
      <c r="A293" s="47"/>
      <c r="B293" s="47"/>
      <c r="C293" s="20" t="s">
        <v>397</v>
      </c>
      <c r="D293" s="35" t="s">
        <v>398</v>
      </c>
      <c r="E293" s="10">
        <f>0</f>
        <v>0</v>
      </c>
      <c r="F293" s="10">
        <f>0</f>
        <v>0</v>
      </c>
      <c r="G293" s="10" t="s">
        <v>1136</v>
      </c>
      <c r="H293" s="10">
        <f>0</f>
        <v>0</v>
      </c>
    </row>
    <row r="294" spans="1:8" ht="48" x14ac:dyDescent="0.2">
      <c r="A294" s="47"/>
      <c r="B294" s="47"/>
      <c r="C294" s="20" t="s">
        <v>399</v>
      </c>
      <c r="D294" s="35" t="s">
        <v>400</v>
      </c>
      <c r="E294" s="10">
        <f>0</f>
        <v>0</v>
      </c>
      <c r="F294" s="10">
        <f>0</f>
        <v>0</v>
      </c>
      <c r="G294" s="10" t="s">
        <v>1136</v>
      </c>
      <c r="H294" s="10">
        <f>0</f>
        <v>0</v>
      </c>
    </row>
    <row r="295" spans="1:8" ht="36" x14ac:dyDescent="0.2">
      <c r="A295" s="47"/>
      <c r="B295" s="47"/>
      <c r="C295" s="20" t="s">
        <v>401</v>
      </c>
      <c r="D295" s="35" t="s">
        <v>402</v>
      </c>
      <c r="E295" s="10">
        <f>85</f>
        <v>85</v>
      </c>
      <c r="F295" s="10">
        <f>0</f>
        <v>0</v>
      </c>
      <c r="G295" s="10" t="s">
        <v>165</v>
      </c>
      <c r="H295" s="10">
        <f>0</f>
        <v>0</v>
      </c>
    </row>
    <row r="296" spans="1:8" ht="48" x14ac:dyDescent="0.2">
      <c r="A296" s="47"/>
      <c r="B296" s="47"/>
      <c r="C296" s="20" t="s">
        <v>403</v>
      </c>
      <c r="D296" s="35" t="s">
        <v>404</v>
      </c>
      <c r="E296" s="10">
        <f>0</f>
        <v>0</v>
      </c>
      <c r="F296" s="10">
        <f>0</f>
        <v>0</v>
      </c>
      <c r="G296" s="10" t="s">
        <v>1136</v>
      </c>
      <c r="H296" s="10">
        <f>0</f>
        <v>0</v>
      </c>
    </row>
    <row r="297" spans="1:8" ht="48" x14ac:dyDescent="0.2">
      <c r="A297" s="47"/>
      <c r="B297" s="47"/>
      <c r="C297" s="20" t="s">
        <v>405</v>
      </c>
      <c r="D297" s="35" t="s">
        <v>406</v>
      </c>
      <c r="E297" s="10">
        <f>0</f>
        <v>0</v>
      </c>
      <c r="F297" s="10">
        <f>0</f>
        <v>0</v>
      </c>
      <c r="G297" s="10" t="s">
        <v>1136</v>
      </c>
      <c r="H297" s="10">
        <f>0</f>
        <v>0</v>
      </c>
    </row>
    <row r="298" spans="1:8" ht="48" x14ac:dyDescent="0.2">
      <c r="A298" s="47"/>
      <c r="B298" s="47"/>
      <c r="C298" s="20" t="s">
        <v>407</v>
      </c>
      <c r="D298" s="35" t="s">
        <v>408</v>
      </c>
      <c r="E298" s="10">
        <f>0</f>
        <v>0</v>
      </c>
      <c r="F298" s="10">
        <f>0</f>
        <v>0</v>
      </c>
      <c r="G298" s="10" t="s">
        <v>1136</v>
      </c>
      <c r="H298" s="10">
        <f>0</f>
        <v>0</v>
      </c>
    </row>
    <row r="299" spans="1:8" ht="36" x14ac:dyDescent="0.2">
      <c r="A299" s="47"/>
      <c r="B299" s="47"/>
      <c r="C299" s="18" t="s">
        <v>209</v>
      </c>
      <c r="D299" s="35" t="s">
        <v>409</v>
      </c>
      <c r="E299" s="10">
        <f>E300+E301+E302+E303+E304+E305+E306+E307</f>
        <v>219.86</v>
      </c>
      <c r="F299" s="10">
        <f>F300+F301+F302+F303+F304+F305+F306+F307</f>
        <v>91.6</v>
      </c>
      <c r="G299" s="10" t="s">
        <v>984</v>
      </c>
      <c r="H299" s="10">
        <f>H300+H301+H302+H303+H304+H305+H306+H307</f>
        <v>91.6</v>
      </c>
    </row>
    <row r="300" spans="1:8" ht="48" x14ac:dyDescent="0.2">
      <c r="A300" s="47"/>
      <c r="B300" s="47"/>
      <c r="C300" s="20" t="s">
        <v>112</v>
      </c>
      <c r="D300" s="35" t="s">
        <v>410</v>
      </c>
      <c r="E300" s="10">
        <f>0</f>
        <v>0</v>
      </c>
      <c r="F300" s="10">
        <f>0</f>
        <v>0</v>
      </c>
      <c r="G300" s="10" t="s">
        <v>1136</v>
      </c>
      <c r="H300" s="10">
        <f>0</f>
        <v>0</v>
      </c>
    </row>
    <row r="301" spans="1:8" ht="48" x14ac:dyDescent="0.2">
      <c r="A301" s="47"/>
      <c r="B301" s="47"/>
      <c r="C301" s="20" t="s">
        <v>212</v>
      </c>
      <c r="D301" s="35" t="s">
        <v>411</v>
      </c>
      <c r="E301" s="10">
        <f>0</f>
        <v>0</v>
      </c>
      <c r="F301" s="10">
        <f>0</f>
        <v>0</v>
      </c>
      <c r="G301" s="10" t="s">
        <v>1136</v>
      </c>
      <c r="H301" s="10">
        <f>0</f>
        <v>0</v>
      </c>
    </row>
    <row r="302" spans="1:8" ht="48" x14ac:dyDescent="0.2">
      <c r="A302" s="47"/>
      <c r="B302" s="47"/>
      <c r="C302" s="20" t="s">
        <v>249</v>
      </c>
      <c r="D302" s="35" t="s">
        <v>412</v>
      </c>
      <c r="E302" s="10">
        <f>0</f>
        <v>0</v>
      </c>
      <c r="F302" s="10">
        <f>0</f>
        <v>0</v>
      </c>
      <c r="G302" s="10" t="s">
        <v>1136</v>
      </c>
      <c r="H302" s="10">
        <f>0</f>
        <v>0</v>
      </c>
    </row>
    <row r="303" spans="1:8" ht="48" x14ac:dyDescent="0.2">
      <c r="A303" s="47"/>
      <c r="B303" s="47"/>
      <c r="C303" s="20" t="s">
        <v>251</v>
      </c>
      <c r="D303" s="35" t="s">
        <v>413</v>
      </c>
      <c r="E303" s="10">
        <f>0</f>
        <v>0</v>
      </c>
      <c r="F303" s="10">
        <f>0</f>
        <v>0</v>
      </c>
      <c r="G303" s="10" t="s">
        <v>1136</v>
      </c>
      <c r="H303" s="10">
        <f>0</f>
        <v>0</v>
      </c>
    </row>
    <row r="304" spans="1:8" ht="48" x14ac:dyDescent="0.2">
      <c r="A304" s="47"/>
      <c r="B304" s="47"/>
      <c r="C304" s="20" t="s">
        <v>414</v>
      </c>
      <c r="D304" s="35" t="s">
        <v>415</v>
      </c>
      <c r="E304" s="10">
        <f>0</f>
        <v>0</v>
      </c>
      <c r="F304" s="10">
        <f>0</f>
        <v>0</v>
      </c>
      <c r="G304" s="10" t="s">
        <v>1136</v>
      </c>
      <c r="H304" s="10">
        <f>0</f>
        <v>0</v>
      </c>
    </row>
    <row r="305" spans="1:8" ht="48" x14ac:dyDescent="0.2">
      <c r="A305" s="47"/>
      <c r="B305" s="47"/>
      <c r="C305" s="20" t="s">
        <v>416</v>
      </c>
      <c r="D305" s="35" t="s">
        <v>417</v>
      </c>
      <c r="E305" s="10">
        <f>0</f>
        <v>0</v>
      </c>
      <c r="F305" s="10">
        <f>0</f>
        <v>0</v>
      </c>
      <c r="G305" s="10" t="s">
        <v>1136</v>
      </c>
      <c r="H305" s="10">
        <f>0</f>
        <v>0</v>
      </c>
    </row>
    <row r="306" spans="1:8" ht="36" x14ac:dyDescent="0.2">
      <c r="A306" s="47"/>
      <c r="B306" s="47"/>
      <c r="C306" s="20" t="s">
        <v>418</v>
      </c>
      <c r="D306" s="35" t="s">
        <v>419</v>
      </c>
      <c r="E306" s="10">
        <f>146.06</f>
        <v>146.06</v>
      </c>
      <c r="F306" s="10">
        <f>91.6</f>
        <v>91.6</v>
      </c>
      <c r="G306" s="10" t="s">
        <v>1002</v>
      </c>
      <c r="H306" s="10">
        <f>91.6</f>
        <v>91.6</v>
      </c>
    </row>
    <row r="307" spans="1:8" ht="36" x14ac:dyDescent="0.2">
      <c r="A307" s="47"/>
      <c r="B307" s="47"/>
      <c r="C307" s="20" t="s">
        <v>420</v>
      </c>
      <c r="D307" s="35" t="s">
        <v>421</v>
      </c>
      <c r="E307" s="10">
        <f>73.8</f>
        <v>73.8</v>
      </c>
      <c r="F307" s="10">
        <f>0</f>
        <v>0</v>
      </c>
      <c r="G307" s="10" t="s">
        <v>165</v>
      </c>
      <c r="H307" s="10">
        <f>0</f>
        <v>0</v>
      </c>
    </row>
    <row r="308" spans="1:8" ht="48" x14ac:dyDescent="0.2">
      <c r="A308" s="47"/>
      <c r="B308" s="47"/>
      <c r="C308" s="18" t="s">
        <v>214</v>
      </c>
      <c r="D308" s="35" t="s">
        <v>422</v>
      </c>
      <c r="E308" s="10">
        <f>E309+E310+E311</f>
        <v>60.4</v>
      </c>
      <c r="F308" s="10">
        <f>F309+F310+F311</f>
        <v>0</v>
      </c>
      <c r="G308" s="10" t="s">
        <v>165</v>
      </c>
      <c r="H308" s="10">
        <f>H309+H310+H311</f>
        <v>0</v>
      </c>
    </row>
    <row r="309" spans="1:8" ht="60" x14ac:dyDescent="0.2">
      <c r="A309" s="47"/>
      <c r="B309" s="47"/>
      <c r="C309" s="20" t="s">
        <v>120</v>
      </c>
      <c r="D309" s="35" t="s">
        <v>423</v>
      </c>
      <c r="E309" s="10">
        <f>0</f>
        <v>0</v>
      </c>
      <c r="F309" s="10">
        <f>0</f>
        <v>0</v>
      </c>
      <c r="G309" s="10" t="s">
        <v>1136</v>
      </c>
      <c r="H309" s="10">
        <f>0</f>
        <v>0</v>
      </c>
    </row>
    <row r="310" spans="1:8" ht="84" x14ac:dyDescent="0.2">
      <c r="A310" s="47"/>
      <c r="B310" s="47"/>
      <c r="C310" s="20" t="s">
        <v>217</v>
      </c>
      <c r="D310" s="35" t="s">
        <v>424</v>
      </c>
      <c r="E310" s="10">
        <f>0</f>
        <v>0</v>
      </c>
      <c r="F310" s="10">
        <f>0</f>
        <v>0</v>
      </c>
      <c r="G310" s="10" t="s">
        <v>1136</v>
      </c>
      <c r="H310" s="10">
        <f>0</f>
        <v>0</v>
      </c>
    </row>
    <row r="311" spans="1:8" ht="36" x14ac:dyDescent="0.2">
      <c r="A311" s="47"/>
      <c r="B311" s="47"/>
      <c r="C311" s="20" t="s">
        <v>219</v>
      </c>
      <c r="D311" s="35" t="s">
        <v>425</v>
      </c>
      <c r="E311" s="10">
        <f>60.4</f>
        <v>60.4</v>
      </c>
      <c r="F311" s="10">
        <f>0</f>
        <v>0</v>
      </c>
      <c r="G311" s="10" t="s">
        <v>165</v>
      </c>
      <c r="H311" s="10">
        <f>0</f>
        <v>0</v>
      </c>
    </row>
    <row r="312" spans="1:8" s="19" customFormat="1" ht="36" x14ac:dyDescent="0.2">
      <c r="A312" s="47"/>
      <c r="B312" s="47"/>
      <c r="C312" s="15" t="s">
        <v>124</v>
      </c>
      <c r="D312" s="34" t="s">
        <v>426</v>
      </c>
      <c r="E312" s="17">
        <f>E313+E315+E317+E322</f>
        <v>1238.6400000000001</v>
      </c>
      <c r="F312" s="17">
        <f>F313+F315+F317+F322</f>
        <v>0</v>
      </c>
      <c r="G312" s="17" t="s">
        <v>165</v>
      </c>
      <c r="H312" s="17">
        <f>H313+H315+H317+H322</f>
        <v>0</v>
      </c>
    </row>
    <row r="313" spans="1:8" ht="48" x14ac:dyDescent="0.2">
      <c r="A313" s="47"/>
      <c r="B313" s="47"/>
      <c r="C313" s="18" t="s">
        <v>178</v>
      </c>
      <c r="D313" s="35" t="s">
        <v>427</v>
      </c>
      <c r="E313" s="10">
        <f>E314</f>
        <v>0</v>
      </c>
      <c r="F313" s="10">
        <f>F314</f>
        <v>0</v>
      </c>
      <c r="G313" s="10" t="s">
        <v>1136</v>
      </c>
      <c r="H313" s="10">
        <f>H314</f>
        <v>0</v>
      </c>
    </row>
    <row r="314" spans="1:8" ht="96" x14ac:dyDescent="0.2">
      <c r="A314" s="47"/>
      <c r="B314" s="47"/>
      <c r="C314" s="20" t="s">
        <v>14</v>
      </c>
      <c r="D314" s="35" t="s">
        <v>428</v>
      </c>
      <c r="E314" s="10">
        <f>0</f>
        <v>0</v>
      </c>
      <c r="F314" s="10">
        <f>0</f>
        <v>0</v>
      </c>
      <c r="G314" s="10" t="s">
        <v>1136</v>
      </c>
      <c r="H314" s="10">
        <f>0</f>
        <v>0</v>
      </c>
    </row>
    <row r="315" spans="1:8" ht="48" x14ac:dyDescent="0.2">
      <c r="A315" s="47"/>
      <c r="B315" s="47"/>
      <c r="C315" s="18" t="s">
        <v>187</v>
      </c>
      <c r="D315" s="35" t="s">
        <v>429</v>
      </c>
      <c r="E315" s="10">
        <f>E316</f>
        <v>0</v>
      </c>
      <c r="F315" s="10">
        <f>F316</f>
        <v>0</v>
      </c>
      <c r="G315" s="10" t="s">
        <v>1136</v>
      </c>
      <c r="H315" s="10">
        <f>H316</f>
        <v>0</v>
      </c>
    </row>
    <row r="316" spans="1:8" ht="48" x14ac:dyDescent="0.2">
      <c r="A316" s="47"/>
      <c r="B316" s="47"/>
      <c r="C316" s="20" t="s">
        <v>98</v>
      </c>
      <c r="D316" s="35" t="s">
        <v>430</v>
      </c>
      <c r="E316" s="10">
        <f>0</f>
        <v>0</v>
      </c>
      <c r="F316" s="10">
        <f>0</f>
        <v>0</v>
      </c>
      <c r="G316" s="10" t="s">
        <v>1136</v>
      </c>
      <c r="H316" s="10">
        <f>0</f>
        <v>0</v>
      </c>
    </row>
    <row r="317" spans="1:8" ht="48" x14ac:dyDescent="0.2">
      <c r="A317" s="47"/>
      <c r="B317" s="47"/>
      <c r="C317" s="18" t="s">
        <v>202</v>
      </c>
      <c r="D317" s="35" t="s">
        <v>431</v>
      </c>
      <c r="E317" s="10">
        <f>E318+E319+E320+E321</f>
        <v>0</v>
      </c>
      <c r="F317" s="10">
        <f>F318+F319+F320+F321</f>
        <v>0</v>
      </c>
      <c r="G317" s="10" t="s">
        <v>1136</v>
      </c>
      <c r="H317" s="10">
        <f>H318+H319+H320+H321</f>
        <v>0</v>
      </c>
    </row>
    <row r="318" spans="1:8" ht="180" x14ac:dyDescent="0.2">
      <c r="A318" s="47"/>
      <c r="B318" s="47"/>
      <c r="C318" s="20" t="s">
        <v>104</v>
      </c>
      <c r="D318" s="35" t="s">
        <v>432</v>
      </c>
      <c r="E318" s="10">
        <f>0</f>
        <v>0</v>
      </c>
      <c r="F318" s="10">
        <f>0</f>
        <v>0</v>
      </c>
      <c r="G318" s="10" t="s">
        <v>1136</v>
      </c>
      <c r="H318" s="10">
        <f>0</f>
        <v>0</v>
      </c>
    </row>
    <row r="319" spans="1:8" ht="72" x14ac:dyDescent="0.2">
      <c r="A319" s="47"/>
      <c r="B319" s="47"/>
      <c r="C319" s="20" t="s">
        <v>205</v>
      </c>
      <c r="D319" s="35" t="s">
        <v>433</v>
      </c>
      <c r="E319" s="10">
        <f>0</f>
        <v>0</v>
      </c>
      <c r="F319" s="10">
        <f>0</f>
        <v>0</v>
      </c>
      <c r="G319" s="10" t="s">
        <v>1136</v>
      </c>
      <c r="H319" s="10">
        <f>0</f>
        <v>0</v>
      </c>
    </row>
    <row r="320" spans="1:8" ht="48" x14ac:dyDescent="0.2">
      <c r="A320" s="47"/>
      <c r="B320" s="47"/>
      <c r="C320" s="20" t="s">
        <v>207</v>
      </c>
      <c r="D320" s="35" t="s">
        <v>434</v>
      </c>
      <c r="E320" s="10">
        <f>0</f>
        <v>0</v>
      </c>
      <c r="F320" s="10">
        <f>0</f>
        <v>0</v>
      </c>
      <c r="G320" s="10" t="s">
        <v>1136</v>
      </c>
      <c r="H320" s="10">
        <f>0</f>
        <v>0</v>
      </c>
    </row>
    <row r="321" spans="1:8" ht="60" x14ac:dyDescent="0.2">
      <c r="A321" s="47"/>
      <c r="B321" s="47"/>
      <c r="C321" s="20" t="s">
        <v>244</v>
      </c>
      <c r="D321" s="35" t="s">
        <v>435</v>
      </c>
      <c r="E321" s="10">
        <f>0</f>
        <v>0</v>
      </c>
      <c r="F321" s="10">
        <f>0</f>
        <v>0</v>
      </c>
      <c r="G321" s="10" t="s">
        <v>1136</v>
      </c>
      <c r="H321" s="10">
        <f>0</f>
        <v>0</v>
      </c>
    </row>
    <row r="322" spans="1:8" ht="36" x14ac:dyDescent="0.2">
      <c r="A322" s="47"/>
      <c r="B322" s="47"/>
      <c r="C322" s="18" t="s">
        <v>209</v>
      </c>
      <c r="D322" s="35" t="s">
        <v>436</v>
      </c>
      <c r="E322" s="10">
        <f>E323</f>
        <v>1238.6400000000001</v>
      </c>
      <c r="F322" s="10">
        <f>F323</f>
        <v>0</v>
      </c>
      <c r="G322" s="10" t="s">
        <v>165</v>
      </c>
      <c r="H322" s="10">
        <f>H323</f>
        <v>0</v>
      </c>
    </row>
    <row r="323" spans="1:8" ht="48" x14ac:dyDescent="0.2">
      <c r="A323" s="47"/>
      <c r="B323" s="47"/>
      <c r="C323" s="20" t="s">
        <v>112</v>
      </c>
      <c r="D323" s="35" t="s">
        <v>437</v>
      </c>
      <c r="E323" s="10">
        <f>1238.64</f>
        <v>1238.6400000000001</v>
      </c>
      <c r="F323" s="10">
        <f>0</f>
        <v>0</v>
      </c>
      <c r="G323" s="10" t="s">
        <v>165</v>
      </c>
      <c r="H323" s="10">
        <f>0</f>
        <v>0</v>
      </c>
    </row>
    <row r="324" spans="1:8" x14ac:dyDescent="0.2">
      <c r="A324" s="47"/>
      <c r="B324" s="47"/>
      <c r="C324" s="57" t="s">
        <v>13</v>
      </c>
      <c r="D324" s="66"/>
      <c r="E324" s="21">
        <f>E146+E178+E222+E211+E312</f>
        <v>117622.06000000001</v>
      </c>
      <c r="F324" s="21">
        <f>F146+F178+F222+F211+F312</f>
        <v>37377.890000000007</v>
      </c>
      <c r="G324" s="75" t="s">
        <v>1156</v>
      </c>
      <c r="H324" s="21">
        <f>H146+H178+H222+H211+H312</f>
        <v>37377.890000000007</v>
      </c>
    </row>
    <row r="325" spans="1:8" s="19" customFormat="1" ht="36" x14ac:dyDescent="0.2">
      <c r="A325" s="47">
        <v>4</v>
      </c>
      <c r="B325" s="47" t="s">
        <v>161</v>
      </c>
      <c r="C325" s="15" t="s">
        <v>9</v>
      </c>
      <c r="D325" s="34" t="s">
        <v>438</v>
      </c>
      <c r="E325" s="17">
        <f>E326</f>
        <v>4325</v>
      </c>
      <c r="F325" s="17">
        <f>F326</f>
        <v>2588.5</v>
      </c>
      <c r="G325" s="17" t="s">
        <v>1003</v>
      </c>
      <c r="H325" s="17">
        <f>H326</f>
        <v>2588.5</v>
      </c>
    </row>
    <row r="326" spans="1:8" ht="36" x14ac:dyDescent="0.2">
      <c r="A326" s="47"/>
      <c r="B326" s="47"/>
      <c r="C326" s="18" t="s">
        <v>178</v>
      </c>
      <c r="D326" s="35" t="s">
        <v>439</v>
      </c>
      <c r="E326" s="10">
        <f>E327+E328+E329+E330+E331+E332+E333</f>
        <v>4325</v>
      </c>
      <c r="F326" s="10">
        <f>F327+F328+F329+F330+F331+F332+F333</f>
        <v>2588.5</v>
      </c>
      <c r="G326" s="10" t="s">
        <v>1003</v>
      </c>
      <c r="H326" s="10">
        <f>H327+H328+H329+H330+H331+H332+H333</f>
        <v>2588.5</v>
      </c>
    </row>
    <row r="327" spans="1:8" ht="60" x14ac:dyDescent="0.2">
      <c r="A327" s="47"/>
      <c r="B327" s="47"/>
      <c r="C327" s="20" t="s">
        <v>14</v>
      </c>
      <c r="D327" s="35" t="s">
        <v>440</v>
      </c>
      <c r="E327" s="10">
        <f>0</f>
        <v>0</v>
      </c>
      <c r="F327" s="10">
        <f>0</f>
        <v>0</v>
      </c>
      <c r="G327" s="10" t="s">
        <v>1158</v>
      </c>
      <c r="H327" s="10">
        <f>0</f>
        <v>0</v>
      </c>
    </row>
    <row r="328" spans="1:8" ht="120" x14ac:dyDescent="0.2">
      <c r="A328" s="47"/>
      <c r="B328" s="47"/>
      <c r="C328" s="20" t="s">
        <v>15</v>
      </c>
      <c r="D328" s="35" t="s">
        <v>441</v>
      </c>
      <c r="E328" s="10">
        <f>395</f>
        <v>395</v>
      </c>
      <c r="F328" s="10">
        <f>12</f>
        <v>12</v>
      </c>
      <c r="G328" s="10" t="s">
        <v>1004</v>
      </c>
      <c r="H328" s="10">
        <f>12</f>
        <v>12</v>
      </c>
    </row>
    <row r="329" spans="1:8" ht="48" x14ac:dyDescent="0.2">
      <c r="A329" s="47"/>
      <c r="B329" s="47"/>
      <c r="C329" s="20" t="s">
        <v>17</v>
      </c>
      <c r="D329" s="35" t="s">
        <v>442</v>
      </c>
      <c r="E329" s="10">
        <f>780</f>
        <v>780</v>
      </c>
      <c r="F329" s="10">
        <f>288.5</f>
        <v>288.5</v>
      </c>
      <c r="G329" s="10" t="s">
        <v>1005</v>
      </c>
      <c r="H329" s="10">
        <f>288.5</f>
        <v>288.5</v>
      </c>
    </row>
    <row r="330" spans="1:8" ht="48" x14ac:dyDescent="0.2">
      <c r="A330" s="47"/>
      <c r="B330" s="47"/>
      <c r="C330" s="20" t="s">
        <v>19</v>
      </c>
      <c r="D330" s="35" t="s">
        <v>443</v>
      </c>
      <c r="E330" s="10">
        <f>2000</f>
        <v>2000</v>
      </c>
      <c r="F330" s="10">
        <f>1998</f>
        <v>1998</v>
      </c>
      <c r="G330" s="10" t="s">
        <v>175</v>
      </c>
      <c r="H330" s="10">
        <f>1998</f>
        <v>1998</v>
      </c>
    </row>
    <row r="331" spans="1:8" ht="84" x14ac:dyDescent="0.2">
      <c r="A331" s="47"/>
      <c r="B331" s="47"/>
      <c r="C331" s="20" t="s">
        <v>21</v>
      </c>
      <c r="D331" s="35" t="s">
        <v>444</v>
      </c>
      <c r="E331" s="10">
        <f>1000</f>
        <v>1000</v>
      </c>
      <c r="F331" s="10">
        <f>290</f>
        <v>290</v>
      </c>
      <c r="G331" s="10" t="s">
        <v>1006</v>
      </c>
      <c r="H331" s="10">
        <f>290</f>
        <v>290</v>
      </c>
    </row>
    <row r="332" spans="1:8" ht="36" x14ac:dyDescent="0.2">
      <c r="A332" s="47"/>
      <c r="B332" s="47"/>
      <c r="C332" s="20" t="s">
        <v>23</v>
      </c>
      <c r="D332" s="35" t="s">
        <v>445</v>
      </c>
      <c r="E332" s="10">
        <f>150</f>
        <v>150</v>
      </c>
      <c r="F332" s="10">
        <f>0</f>
        <v>0</v>
      </c>
      <c r="G332" s="10" t="s">
        <v>165</v>
      </c>
      <c r="H332" s="10">
        <f>0</f>
        <v>0</v>
      </c>
    </row>
    <row r="333" spans="1:8" ht="24" x14ac:dyDescent="0.2">
      <c r="A333" s="47"/>
      <c r="B333" s="47"/>
      <c r="C333" s="20" t="s">
        <v>25</v>
      </c>
      <c r="D333" s="35" t="s">
        <v>446</v>
      </c>
      <c r="E333" s="10">
        <f>0</f>
        <v>0</v>
      </c>
      <c r="F333" s="10">
        <f>0</f>
        <v>0</v>
      </c>
      <c r="G333" s="10" t="s">
        <v>1158</v>
      </c>
      <c r="H333" s="10">
        <f>0</f>
        <v>0</v>
      </c>
    </row>
    <row r="334" spans="1:8" s="19" customFormat="1" ht="36" x14ac:dyDescent="0.2">
      <c r="A334" s="47"/>
      <c r="B334" s="47"/>
      <c r="C334" s="15" t="s">
        <v>10</v>
      </c>
      <c r="D334" s="34" t="s">
        <v>447</v>
      </c>
      <c r="E334" s="17">
        <f>E335+E346</f>
        <v>26302.83</v>
      </c>
      <c r="F334" s="17">
        <f>F335+F346</f>
        <v>3365.14</v>
      </c>
      <c r="G334" s="17" t="s">
        <v>1007</v>
      </c>
      <c r="H334" s="17">
        <f>H335+H346</f>
        <v>3365.14</v>
      </c>
    </row>
    <row r="335" spans="1:8" ht="36" x14ac:dyDescent="0.2">
      <c r="A335" s="47"/>
      <c r="B335" s="47"/>
      <c r="C335" s="18" t="s">
        <v>178</v>
      </c>
      <c r="D335" s="35" t="s">
        <v>448</v>
      </c>
      <c r="E335" s="10">
        <f>E336+E339+E340+E341+E342+E343+E344+E345</f>
        <v>23375.940000000002</v>
      </c>
      <c r="F335" s="10">
        <f>F336+F339+F340+F341+F342+F343+F344+F345</f>
        <v>3167.14</v>
      </c>
      <c r="G335" s="10" t="s">
        <v>1008</v>
      </c>
      <c r="H335" s="10">
        <f>H336+H339+H340+H341+H342+H343+H344+H345</f>
        <v>3167.14</v>
      </c>
    </row>
    <row r="336" spans="1:8" ht="36" x14ac:dyDescent="0.2">
      <c r="A336" s="47"/>
      <c r="B336" s="47"/>
      <c r="C336" s="20" t="s">
        <v>14</v>
      </c>
      <c r="D336" s="35" t="s">
        <v>449</v>
      </c>
      <c r="E336" s="10">
        <f>E337+E338</f>
        <v>4037.04</v>
      </c>
      <c r="F336" s="10">
        <f>F337+F338</f>
        <v>1339.5</v>
      </c>
      <c r="G336" s="10" t="s">
        <v>1009</v>
      </c>
      <c r="H336" s="10">
        <f>H337+H338</f>
        <v>1339.5</v>
      </c>
    </row>
    <row r="337" spans="1:8" ht="36" x14ac:dyDescent="0.2">
      <c r="A337" s="47"/>
      <c r="B337" s="47"/>
      <c r="C337" s="20" t="s">
        <v>133</v>
      </c>
      <c r="D337" s="35" t="s">
        <v>449</v>
      </c>
      <c r="E337" s="10">
        <f>2551.21+1409.33</f>
        <v>3960.54</v>
      </c>
      <c r="F337" s="10">
        <f>1263</f>
        <v>1263</v>
      </c>
      <c r="G337" s="10" t="s">
        <v>1010</v>
      </c>
      <c r="H337" s="10">
        <f>1263</f>
        <v>1263</v>
      </c>
    </row>
    <row r="338" spans="1:8" ht="36" x14ac:dyDescent="0.2">
      <c r="A338" s="47"/>
      <c r="B338" s="47"/>
      <c r="C338" s="20" t="s">
        <v>135</v>
      </c>
      <c r="D338" s="35" t="s">
        <v>450</v>
      </c>
      <c r="E338" s="10">
        <f>76.5</f>
        <v>76.5</v>
      </c>
      <c r="F338" s="10">
        <f>76.5</f>
        <v>76.5</v>
      </c>
      <c r="G338" s="10" t="s">
        <v>175</v>
      </c>
      <c r="H338" s="10">
        <f>76.5</f>
        <v>76.5</v>
      </c>
    </row>
    <row r="339" spans="1:8" ht="60" x14ac:dyDescent="0.2">
      <c r="A339" s="47"/>
      <c r="B339" s="47"/>
      <c r="C339" s="20" t="s">
        <v>15</v>
      </c>
      <c r="D339" s="35" t="s">
        <v>451</v>
      </c>
      <c r="E339" s="10">
        <f>9180+1020</f>
        <v>10200</v>
      </c>
      <c r="F339" s="10">
        <f>0</f>
        <v>0</v>
      </c>
      <c r="G339" s="10" t="s">
        <v>165</v>
      </c>
      <c r="H339" s="10">
        <f>0</f>
        <v>0</v>
      </c>
    </row>
    <row r="340" spans="1:8" ht="60" x14ac:dyDescent="0.2">
      <c r="A340" s="47"/>
      <c r="B340" s="47"/>
      <c r="C340" s="20" t="s">
        <v>17</v>
      </c>
      <c r="D340" s="35" t="s">
        <v>452</v>
      </c>
      <c r="E340" s="10">
        <f>2912</f>
        <v>2912</v>
      </c>
      <c r="F340" s="10">
        <f>0</f>
        <v>0</v>
      </c>
      <c r="G340" s="10" t="s">
        <v>165</v>
      </c>
      <c r="H340" s="10">
        <f>0</f>
        <v>0</v>
      </c>
    </row>
    <row r="341" spans="1:8" ht="44.25" customHeight="1" x14ac:dyDescent="0.2">
      <c r="A341" s="47"/>
      <c r="B341" s="47"/>
      <c r="C341" s="20" t="s">
        <v>19</v>
      </c>
      <c r="D341" s="35" t="s">
        <v>453</v>
      </c>
      <c r="E341" s="10">
        <f>1646.9+1022</f>
        <v>2668.9</v>
      </c>
      <c r="F341" s="10">
        <f>0</f>
        <v>0</v>
      </c>
      <c r="G341" s="10" t="s">
        <v>165</v>
      </c>
      <c r="H341" s="10">
        <f>0</f>
        <v>0</v>
      </c>
    </row>
    <row r="342" spans="1:8" ht="36" x14ac:dyDescent="0.2">
      <c r="A342" s="47"/>
      <c r="B342" s="47"/>
      <c r="C342" s="20" t="s">
        <v>21</v>
      </c>
      <c r="D342" s="35" t="s">
        <v>454</v>
      </c>
      <c r="E342" s="10">
        <f>62</f>
        <v>62</v>
      </c>
      <c r="F342" s="10">
        <f>40.81</f>
        <v>40.81</v>
      </c>
      <c r="G342" s="10" t="s">
        <v>958</v>
      </c>
      <c r="H342" s="10">
        <f>40.81</f>
        <v>40.81</v>
      </c>
    </row>
    <row r="343" spans="1:8" ht="36" x14ac:dyDescent="0.2">
      <c r="A343" s="47"/>
      <c r="B343" s="47"/>
      <c r="C343" s="20" t="s">
        <v>23</v>
      </c>
      <c r="D343" s="35" t="s">
        <v>455</v>
      </c>
      <c r="E343" s="10">
        <f>308</f>
        <v>308</v>
      </c>
      <c r="F343" s="10">
        <f>0</f>
        <v>0</v>
      </c>
      <c r="G343" s="10" t="s">
        <v>165</v>
      </c>
      <c r="H343" s="10">
        <f>0</f>
        <v>0</v>
      </c>
    </row>
    <row r="344" spans="1:8" ht="60" x14ac:dyDescent="0.2">
      <c r="A344" s="47"/>
      <c r="B344" s="47"/>
      <c r="C344" s="20" t="s">
        <v>25</v>
      </c>
      <c r="D344" s="35" t="s">
        <v>456</v>
      </c>
      <c r="E344" s="10">
        <f>2200</f>
        <v>2200</v>
      </c>
      <c r="F344" s="10">
        <f>1786.83</f>
        <v>1786.83</v>
      </c>
      <c r="G344" s="10" t="s">
        <v>1011</v>
      </c>
      <c r="H344" s="10">
        <f>1786.83</f>
        <v>1786.83</v>
      </c>
    </row>
    <row r="345" spans="1:8" ht="36" x14ac:dyDescent="0.2">
      <c r="A345" s="47"/>
      <c r="B345" s="47"/>
      <c r="C345" s="20" t="s">
        <v>27</v>
      </c>
      <c r="D345" s="35" t="s">
        <v>457</v>
      </c>
      <c r="E345" s="10">
        <f>988</f>
        <v>988</v>
      </c>
      <c r="F345" s="10">
        <f>0</f>
        <v>0</v>
      </c>
      <c r="G345" s="10" t="s">
        <v>165</v>
      </c>
      <c r="H345" s="10">
        <f>0</f>
        <v>0</v>
      </c>
    </row>
    <row r="346" spans="1:8" ht="36" x14ac:dyDescent="0.2">
      <c r="A346" s="47"/>
      <c r="B346" s="47"/>
      <c r="C346" s="18" t="s">
        <v>187</v>
      </c>
      <c r="D346" s="35" t="s">
        <v>458</v>
      </c>
      <c r="E346" s="10">
        <f>E347</f>
        <v>2926.89</v>
      </c>
      <c r="F346" s="10">
        <f>F347</f>
        <v>198</v>
      </c>
      <c r="G346" s="10" t="s">
        <v>1012</v>
      </c>
      <c r="H346" s="10">
        <f>H347</f>
        <v>198</v>
      </c>
    </row>
    <row r="347" spans="1:8" ht="36" x14ac:dyDescent="0.2">
      <c r="A347" s="47"/>
      <c r="B347" s="47"/>
      <c r="C347" s="20" t="s">
        <v>98</v>
      </c>
      <c r="D347" s="35" t="s">
        <v>459</v>
      </c>
      <c r="E347" s="10">
        <f>2566.89+360</f>
        <v>2926.89</v>
      </c>
      <c r="F347" s="10">
        <f>198</f>
        <v>198</v>
      </c>
      <c r="G347" s="10" t="s">
        <v>1012</v>
      </c>
      <c r="H347" s="10">
        <f>198</f>
        <v>198</v>
      </c>
    </row>
    <row r="348" spans="1:8" s="25" customFormat="1" ht="36" x14ac:dyDescent="0.2">
      <c r="A348" s="47"/>
      <c r="B348" s="47"/>
      <c r="C348" s="15" t="s">
        <v>11</v>
      </c>
      <c r="D348" s="34" t="s">
        <v>460</v>
      </c>
      <c r="E348" s="17">
        <f>E349</f>
        <v>500</v>
      </c>
      <c r="F348" s="17">
        <f>F349</f>
        <v>0</v>
      </c>
      <c r="G348" s="17" t="s">
        <v>165</v>
      </c>
      <c r="H348" s="17">
        <f>H349</f>
        <v>0</v>
      </c>
    </row>
    <row r="349" spans="1:8" ht="60" x14ac:dyDescent="0.2">
      <c r="A349" s="47"/>
      <c r="B349" s="47"/>
      <c r="C349" s="18" t="s">
        <v>178</v>
      </c>
      <c r="D349" s="35" t="s">
        <v>461</v>
      </c>
      <c r="E349" s="10">
        <f>E350+E351+E352+E353+E354+E355+E356+E357</f>
        <v>500</v>
      </c>
      <c r="F349" s="10">
        <f>F350+F351+F352+F353+F354+F355+F356+F357</f>
        <v>0</v>
      </c>
      <c r="G349" s="10" t="s">
        <v>165</v>
      </c>
      <c r="H349" s="10">
        <f>H350+H351+H352+H353+H354+H355+H356+H357</f>
        <v>0</v>
      </c>
    </row>
    <row r="350" spans="1:8" ht="36" x14ac:dyDescent="0.2">
      <c r="A350" s="47"/>
      <c r="B350" s="47"/>
      <c r="C350" s="20" t="s">
        <v>14</v>
      </c>
      <c r="D350" s="35" t="s">
        <v>462</v>
      </c>
      <c r="E350" s="10">
        <f>500</f>
        <v>500</v>
      </c>
      <c r="F350" s="10">
        <f>0</f>
        <v>0</v>
      </c>
      <c r="G350" s="10" t="s">
        <v>165</v>
      </c>
      <c r="H350" s="10">
        <f>0</f>
        <v>0</v>
      </c>
    </row>
    <row r="351" spans="1:8" ht="24" x14ac:dyDescent="0.2">
      <c r="A351" s="47"/>
      <c r="B351" s="47"/>
      <c r="C351" s="20" t="s">
        <v>15</v>
      </c>
      <c r="D351" s="35" t="s">
        <v>463</v>
      </c>
      <c r="E351" s="10">
        <f>0</f>
        <v>0</v>
      </c>
      <c r="F351" s="10">
        <f>0</f>
        <v>0</v>
      </c>
      <c r="G351" s="10" t="s">
        <v>1158</v>
      </c>
      <c r="H351" s="10">
        <f>0</f>
        <v>0</v>
      </c>
    </row>
    <row r="352" spans="1:8" ht="36" x14ac:dyDescent="0.2">
      <c r="A352" s="47"/>
      <c r="B352" s="47"/>
      <c r="C352" s="20" t="s">
        <v>17</v>
      </c>
      <c r="D352" s="35" t="s">
        <v>464</v>
      </c>
      <c r="E352" s="10">
        <f>0</f>
        <v>0</v>
      </c>
      <c r="F352" s="10">
        <f>0</f>
        <v>0</v>
      </c>
      <c r="G352" s="10" t="s">
        <v>1158</v>
      </c>
      <c r="H352" s="10">
        <f>0</f>
        <v>0</v>
      </c>
    </row>
    <row r="353" spans="1:8" ht="24" x14ac:dyDescent="0.2">
      <c r="A353" s="47"/>
      <c r="B353" s="47"/>
      <c r="C353" s="20" t="s">
        <v>19</v>
      </c>
      <c r="D353" s="35" t="s">
        <v>465</v>
      </c>
      <c r="E353" s="10">
        <f>0</f>
        <v>0</v>
      </c>
      <c r="F353" s="10">
        <f>0</f>
        <v>0</v>
      </c>
      <c r="G353" s="10" t="s">
        <v>1158</v>
      </c>
      <c r="H353" s="10">
        <f>0</f>
        <v>0</v>
      </c>
    </row>
    <row r="354" spans="1:8" ht="120" x14ac:dyDescent="0.2">
      <c r="A354" s="47"/>
      <c r="B354" s="47"/>
      <c r="C354" s="20" t="s">
        <v>21</v>
      </c>
      <c r="D354" s="35" t="s">
        <v>466</v>
      </c>
      <c r="E354" s="10">
        <f>0</f>
        <v>0</v>
      </c>
      <c r="F354" s="10">
        <f>0</f>
        <v>0</v>
      </c>
      <c r="G354" s="10" t="s">
        <v>1158</v>
      </c>
      <c r="H354" s="10">
        <f>0</f>
        <v>0</v>
      </c>
    </row>
    <row r="355" spans="1:8" ht="36" x14ac:dyDescent="0.2">
      <c r="A355" s="47"/>
      <c r="B355" s="47"/>
      <c r="C355" s="20" t="s">
        <v>23</v>
      </c>
      <c r="D355" s="35" t="s">
        <v>467</v>
      </c>
      <c r="E355" s="10">
        <f>0</f>
        <v>0</v>
      </c>
      <c r="F355" s="10">
        <f>0</f>
        <v>0</v>
      </c>
      <c r="G355" s="10" t="s">
        <v>1158</v>
      </c>
      <c r="H355" s="10">
        <f>0</f>
        <v>0</v>
      </c>
    </row>
    <row r="356" spans="1:8" ht="24" x14ac:dyDescent="0.2">
      <c r="A356" s="47"/>
      <c r="B356" s="47"/>
      <c r="C356" s="20" t="s">
        <v>25</v>
      </c>
      <c r="D356" s="35" t="s">
        <v>468</v>
      </c>
      <c r="E356" s="10">
        <f>0</f>
        <v>0</v>
      </c>
      <c r="F356" s="10">
        <f>0</f>
        <v>0</v>
      </c>
      <c r="G356" s="10" t="s">
        <v>1158</v>
      </c>
      <c r="H356" s="10">
        <f>0</f>
        <v>0</v>
      </c>
    </row>
    <row r="357" spans="1:8" ht="60" x14ac:dyDescent="0.2">
      <c r="A357" s="47"/>
      <c r="B357" s="47"/>
      <c r="C357" s="20" t="s">
        <v>27</v>
      </c>
      <c r="D357" s="35" t="s">
        <v>469</v>
      </c>
      <c r="E357" s="10">
        <f>0</f>
        <v>0</v>
      </c>
      <c r="F357" s="10">
        <f>0</f>
        <v>0</v>
      </c>
      <c r="G357" s="10" t="s">
        <v>1158</v>
      </c>
      <c r="H357" s="10">
        <f>0</f>
        <v>0</v>
      </c>
    </row>
    <row r="358" spans="1:8" s="25" customFormat="1" ht="36" x14ac:dyDescent="0.2">
      <c r="A358" s="47"/>
      <c r="B358" s="47"/>
      <c r="C358" s="15" t="s">
        <v>12</v>
      </c>
      <c r="D358" s="34" t="s">
        <v>470</v>
      </c>
      <c r="E358" s="17">
        <f>E359+E362</f>
        <v>33051</v>
      </c>
      <c r="F358" s="17">
        <f>F359+F362</f>
        <v>17721.189999999999</v>
      </c>
      <c r="G358" s="17" t="s">
        <v>1013</v>
      </c>
      <c r="H358" s="17">
        <f>H359+H362</f>
        <v>17721.189999999999</v>
      </c>
    </row>
    <row r="359" spans="1:8" ht="48" x14ac:dyDescent="0.2">
      <c r="A359" s="47"/>
      <c r="B359" s="47"/>
      <c r="C359" s="18" t="s">
        <v>178</v>
      </c>
      <c r="D359" s="35" t="s">
        <v>471</v>
      </c>
      <c r="E359" s="10">
        <f>E360+E361</f>
        <v>30073</v>
      </c>
      <c r="F359" s="10">
        <f>F360+F361</f>
        <v>16734.64</v>
      </c>
      <c r="G359" s="10" t="s">
        <v>1014</v>
      </c>
      <c r="H359" s="10">
        <f>H360+H361</f>
        <v>16734.64</v>
      </c>
    </row>
    <row r="360" spans="1:8" ht="36" x14ac:dyDescent="0.2">
      <c r="A360" s="47"/>
      <c r="B360" s="47"/>
      <c r="C360" s="20" t="s">
        <v>14</v>
      </c>
      <c r="D360" s="35" t="s">
        <v>472</v>
      </c>
      <c r="E360" s="10">
        <f>29847.4</f>
        <v>29847.4</v>
      </c>
      <c r="F360" s="10">
        <f>16625.02</f>
        <v>16625.02</v>
      </c>
      <c r="G360" s="10" t="s">
        <v>1015</v>
      </c>
      <c r="H360" s="10">
        <f>16625.02</f>
        <v>16625.02</v>
      </c>
    </row>
    <row r="361" spans="1:8" ht="36" x14ac:dyDescent="0.2">
      <c r="A361" s="47"/>
      <c r="B361" s="47"/>
      <c r="C361" s="20" t="s">
        <v>15</v>
      </c>
      <c r="D361" s="35" t="s">
        <v>473</v>
      </c>
      <c r="E361" s="10">
        <f>225.6</f>
        <v>225.6</v>
      </c>
      <c r="F361" s="10">
        <f>109.62</f>
        <v>109.62</v>
      </c>
      <c r="G361" s="10" t="s">
        <v>1016</v>
      </c>
      <c r="H361" s="10">
        <f>109.62</f>
        <v>109.62</v>
      </c>
    </row>
    <row r="362" spans="1:8" ht="60" x14ac:dyDescent="0.2">
      <c r="A362" s="47"/>
      <c r="B362" s="47"/>
      <c r="C362" s="18" t="s">
        <v>187</v>
      </c>
      <c r="D362" s="35" t="s">
        <v>474</v>
      </c>
      <c r="E362" s="10">
        <f>E363</f>
        <v>2978</v>
      </c>
      <c r="F362" s="10">
        <f>F363</f>
        <v>986.55</v>
      </c>
      <c r="G362" s="10" t="s">
        <v>1017</v>
      </c>
      <c r="H362" s="10">
        <f>H363</f>
        <v>986.55</v>
      </c>
    </row>
    <row r="363" spans="1:8" ht="36" x14ac:dyDescent="0.2">
      <c r="A363" s="47"/>
      <c r="B363" s="47"/>
      <c r="C363" s="20" t="s">
        <v>98</v>
      </c>
      <c r="D363" s="35" t="s">
        <v>475</v>
      </c>
      <c r="E363" s="10">
        <f>2978</f>
        <v>2978</v>
      </c>
      <c r="F363" s="10">
        <f>986.55</f>
        <v>986.55</v>
      </c>
      <c r="G363" s="10" t="s">
        <v>1017</v>
      </c>
      <c r="H363" s="10">
        <f>986.55</f>
        <v>986.55</v>
      </c>
    </row>
    <row r="364" spans="1:8" s="19" customFormat="1" ht="36" x14ac:dyDescent="0.2">
      <c r="A364" s="47"/>
      <c r="B364" s="47"/>
      <c r="C364" s="15" t="s">
        <v>124</v>
      </c>
      <c r="D364" s="34" t="s">
        <v>476</v>
      </c>
      <c r="E364" s="17">
        <f>E365+E367+E372+E374</f>
        <v>122908</v>
      </c>
      <c r="F364" s="17">
        <f>F365+F367+F372+F374</f>
        <v>3364.87</v>
      </c>
      <c r="G364" s="17" t="s">
        <v>1018</v>
      </c>
      <c r="H364" s="17">
        <f>H365+H367+H372+H374</f>
        <v>3364.87</v>
      </c>
    </row>
    <row r="365" spans="1:8" ht="48" x14ac:dyDescent="0.2">
      <c r="A365" s="47"/>
      <c r="B365" s="47"/>
      <c r="C365" s="18" t="s">
        <v>178</v>
      </c>
      <c r="D365" s="35" t="s">
        <v>477</v>
      </c>
      <c r="E365" s="10">
        <f>E366</f>
        <v>0</v>
      </c>
      <c r="F365" s="10">
        <f>F366</f>
        <v>0</v>
      </c>
      <c r="G365" s="10" t="s">
        <v>1158</v>
      </c>
      <c r="H365" s="10">
        <f>H366</f>
        <v>0</v>
      </c>
    </row>
    <row r="366" spans="1:8" ht="24" x14ac:dyDescent="0.2">
      <c r="A366" s="47"/>
      <c r="B366" s="47"/>
      <c r="C366" s="20" t="s">
        <v>14</v>
      </c>
      <c r="D366" s="35" t="s">
        <v>478</v>
      </c>
      <c r="E366" s="10">
        <f>0</f>
        <v>0</v>
      </c>
      <c r="F366" s="10">
        <f>0</f>
        <v>0</v>
      </c>
      <c r="G366" s="10" t="s">
        <v>1158</v>
      </c>
      <c r="H366" s="10">
        <f>0</f>
        <v>0</v>
      </c>
    </row>
    <row r="367" spans="1:8" ht="36" x14ac:dyDescent="0.2">
      <c r="A367" s="47"/>
      <c r="B367" s="47"/>
      <c r="C367" s="18" t="s">
        <v>187</v>
      </c>
      <c r="D367" s="35" t="s">
        <v>479</v>
      </c>
      <c r="E367" s="10">
        <f>E368+E369+E370+E371</f>
        <v>110420</v>
      </c>
      <c r="F367" s="10">
        <f>F368+F369+F370+F371</f>
        <v>175</v>
      </c>
      <c r="G367" s="10" t="s">
        <v>1019</v>
      </c>
      <c r="H367" s="10">
        <f>H368+H369+H370+H371</f>
        <v>175</v>
      </c>
    </row>
    <row r="368" spans="1:8" ht="36" x14ac:dyDescent="0.2">
      <c r="A368" s="47"/>
      <c r="B368" s="47"/>
      <c r="C368" s="20" t="s">
        <v>98</v>
      </c>
      <c r="D368" s="35" t="s">
        <v>480</v>
      </c>
      <c r="E368" s="10">
        <f>0</f>
        <v>0</v>
      </c>
      <c r="F368" s="10">
        <f>0</f>
        <v>0</v>
      </c>
      <c r="G368" s="10" t="s">
        <v>1158</v>
      </c>
      <c r="H368" s="10">
        <f>0</f>
        <v>0</v>
      </c>
    </row>
    <row r="369" spans="1:8" ht="36" x14ac:dyDescent="0.2">
      <c r="A369" s="47"/>
      <c r="B369" s="47"/>
      <c r="C369" s="20" t="s">
        <v>190</v>
      </c>
      <c r="D369" s="35" t="s">
        <v>481</v>
      </c>
      <c r="E369" s="10">
        <f>110000</f>
        <v>110000</v>
      </c>
      <c r="F369" s="10">
        <f>0</f>
        <v>0</v>
      </c>
      <c r="G369" s="10" t="s">
        <v>165</v>
      </c>
      <c r="H369" s="10">
        <f>0</f>
        <v>0</v>
      </c>
    </row>
    <row r="370" spans="1:8" ht="36" x14ac:dyDescent="0.2">
      <c r="A370" s="47"/>
      <c r="B370" s="47"/>
      <c r="C370" s="20" t="s">
        <v>192</v>
      </c>
      <c r="D370" s="35" t="s">
        <v>482</v>
      </c>
      <c r="E370" s="10">
        <f>420</f>
        <v>420</v>
      </c>
      <c r="F370" s="10">
        <f>175</f>
        <v>175</v>
      </c>
      <c r="G370" s="10" t="s">
        <v>984</v>
      </c>
      <c r="H370" s="10">
        <f>175</f>
        <v>175</v>
      </c>
    </row>
    <row r="371" spans="1:8" ht="24" x14ac:dyDescent="0.2">
      <c r="A371" s="47"/>
      <c r="B371" s="47"/>
      <c r="C371" s="20" t="s">
        <v>194</v>
      </c>
      <c r="D371" s="35" t="s">
        <v>483</v>
      </c>
      <c r="E371" s="10">
        <f>0</f>
        <v>0</v>
      </c>
      <c r="F371" s="10">
        <f>0</f>
        <v>0</v>
      </c>
      <c r="G371" s="10" t="s">
        <v>1158</v>
      </c>
      <c r="H371" s="10">
        <f>0</f>
        <v>0</v>
      </c>
    </row>
    <row r="372" spans="1:8" ht="36" x14ac:dyDescent="0.2">
      <c r="A372" s="47"/>
      <c r="B372" s="47"/>
      <c r="C372" s="18" t="s">
        <v>202</v>
      </c>
      <c r="D372" s="35" t="s">
        <v>484</v>
      </c>
      <c r="E372" s="10">
        <f>E373</f>
        <v>12488</v>
      </c>
      <c r="F372" s="10">
        <f>F373</f>
        <v>3189.87</v>
      </c>
      <c r="G372" s="10" t="s">
        <v>1020</v>
      </c>
      <c r="H372" s="10">
        <f>H373</f>
        <v>3189.87</v>
      </c>
    </row>
    <row r="373" spans="1:8" ht="36" x14ac:dyDescent="0.2">
      <c r="A373" s="47"/>
      <c r="B373" s="47"/>
      <c r="C373" s="20" t="s">
        <v>104</v>
      </c>
      <c r="D373" s="35" t="s">
        <v>485</v>
      </c>
      <c r="E373" s="10">
        <f>12488</f>
        <v>12488</v>
      </c>
      <c r="F373" s="10">
        <f>3189.87</f>
        <v>3189.87</v>
      </c>
      <c r="G373" s="10" t="s">
        <v>1020</v>
      </c>
      <c r="H373" s="10">
        <f>3189.87</f>
        <v>3189.87</v>
      </c>
    </row>
    <row r="374" spans="1:8" ht="24" x14ac:dyDescent="0.2">
      <c r="A374" s="47"/>
      <c r="B374" s="47"/>
      <c r="C374" s="18" t="s">
        <v>209</v>
      </c>
      <c r="D374" s="35" t="s">
        <v>486</v>
      </c>
      <c r="E374" s="10">
        <f>E375+E376</f>
        <v>0</v>
      </c>
      <c r="F374" s="10">
        <f>F375+F376</f>
        <v>0</v>
      </c>
      <c r="G374" s="10" t="s">
        <v>1158</v>
      </c>
      <c r="H374" s="10">
        <f>H375+H376</f>
        <v>0</v>
      </c>
    </row>
    <row r="375" spans="1:8" ht="24" x14ac:dyDescent="0.2">
      <c r="A375" s="47"/>
      <c r="B375" s="47"/>
      <c r="C375" s="20" t="s">
        <v>112</v>
      </c>
      <c r="D375" s="35" t="s">
        <v>487</v>
      </c>
      <c r="E375" s="10">
        <f>0</f>
        <v>0</v>
      </c>
      <c r="F375" s="10">
        <f>0</f>
        <v>0</v>
      </c>
      <c r="G375" s="10" t="s">
        <v>1158</v>
      </c>
      <c r="H375" s="10">
        <f>0</f>
        <v>0</v>
      </c>
    </row>
    <row r="376" spans="1:8" ht="24" x14ac:dyDescent="0.2">
      <c r="A376" s="47"/>
      <c r="B376" s="47"/>
      <c r="C376" s="20" t="s">
        <v>212</v>
      </c>
      <c r="D376" s="35" t="s">
        <v>488</v>
      </c>
      <c r="E376" s="10">
        <f>0</f>
        <v>0</v>
      </c>
      <c r="F376" s="10">
        <f>0</f>
        <v>0</v>
      </c>
      <c r="G376" s="10" t="s">
        <v>1158</v>
      </c>
      <c r="H376" s="10">
        <f>0</f>
        <v>0</v>
      </c>
    </row>
    <row r="377" spans="1:8" s="19" customFormat="1" ht="48" x14ac:dyDescent="0.2">
      <c r="A377" s="47"/>
      <c r="B377" s="47"/>
      <c r="C377" s="15" t="s">
        <v>130</v>
      </c>
      <c r="D377" s="34" t="s">
        <v>489</v>
      </c>
      <c r="E377" s="17">
        <f>E378</f>
        <v>0</v>
      </c>
      <c r="F377" s="17">
        <f>F378</f>
        <v>0</v>
      </c>
      <c r="G377" s="17" t="s">
        <v>1136</v>
      </c>
      <c r="H377" s="17">
        <f>H378</f>
        <v>0</v>
      </c>
    </row>
    <row r="378" spans="1:8" ht="24" x14ac:dyDescent="0.2">
      <c r="A378" s="47"/>
      <c r="B378" s="47"/>
      <c r="C378" s="18" t="s">
        <v>178</v>
      </c>
      <c r="D378" s="35" t="s">
        <v>490</v>
      </c>
      <c r="E378" s="10">
        <f>E379+E380+E381+E382+E383+E384+E385+E386+E387+E388+E389</f>
        <v>0</v>
      </c>
      <c r="F378" s="10">
        <f>F379+F380+F381+F382+F383+F384+F385+F386+F387+F388+F389</f>
        <v>0</v>
      </c>
      <c r="G378" s="10" t="s">
        <v>1158</v>
      </c>
      <c r="H378" s="10">
        <f>H379+H380+H381+H382+H383+H384+H385+H386+H387+H388+H389</f>
        <v>0</v>
      </c>
    </row>
    <row r="379" spans="1:8" ht="24" x14ac:dyDescent="0.2">
      <c r="A379" s="47"/>
      <c r="B379" s="47"/>
      <c r="C379" s="20" t="s">
        <v>14</v>
      </c>
      <c r="D379" s="35" t="s">
        <v>491</v>
      </c>
      <c r="E379" s="10">
        <f>0</f>
        <v>0</v>
      </c>
      <c r="F379" s="10">
        <f>0</f>
        <v>0</v>
      </c>
      <c r="G379" s="10" t="s">
        <v>1158</v>
      </c>
      <c r="H379" s="10">
        <f>0</f>
        <v>0</v>
      </c>
    </row>
    <row r="380" spans="1:8" ht="36" x14ac:dyDescent="0.2">
      <c r="A380" s="47"/>
      <c r="B380" s="47"/>
      <c r="C380" s="20" t="s">
        <v>15</v>
      </c>
      <c r="D380" s="35" t="s">
        <v>492</v>
      </c>
      <c r="E380" s="10">
        <f>0</f>
        <v>0</v>
      </c>
      <c r="F380" s="10">
        <f>0</f>
        <v>0</v>
      </c>
      <c r="G380" s="10" t="s">
        <v>1158</v>
      </c>
      <c r="H380" s="10">
        <f>0</f>
        <v>0</v>
      </c>
    </row>
    <row r="381" spans="1:8" ht="24" x14ac:dyDescent="0.2">
      <c r="A381" s="47"/>
      <c r="B381" s="47"/>
      <c r="C381" s="20" t="s">
        <v>17</v>
      </c>
      <c r="D381" s="35" t="s">
        <v>493</v>
      </c>
      <c r="E381" s="10">
        <f>0</f>
        <v>0</v>
      </c>
      <c r="F381" s="10">
        <f>0</f>
        <v>0</v>
      </c>
      <c r="G381" s="10" t="s">
        <v>1158</v>
      </c>
      <c r="H381" s="10">
        <f>0</f>
        <v>0</v>
      </c>
    </row>
    <row r="382" spans="1:8" ht="24" x14ac:dyDescent="0.2">
      <c r="A382" s="47"/>
      <c r="B382" s="47"/>
      <c r="C382" s="20" t="s">
        <v>19</v>
      </c>
      <c r="D382" s="35" t="s">
        <v>494</v>
      </c>
      <c r="E382" s="10">
        <f>0</f>
        <v>0</v>
      </c>
      <c r="F382" s="10">
        <f>0</f>
        <v>0</v>
      </c>
      <c r="G382" s="10" t="s">
        <v>1158</v>
      </c>
      <c r="H382" s="10">
        <f>0</f>
        <v>0</v>
      </c>
    </row>
    <row r="383" spans="1:8" ht="36" x14ac:dyDescent="0.2">
      <c r="A383" s="47"/>
      <c r="B383" s="47"/>
      <c r="C383" s="20" t="s">
        <v>21</v>
      </c>
      <c r="D383" s="35" t="s">
        <v>495</v>
      </c>
      <c r="E383" s="10">
        <f>0</f>
        <v>0</v>
      </c>
      <c r="F383" s="10">
        <f>0</f>
        <v>0</v>
      </c>
      <c r="G383" s="10" t="s">
        <v>1158</v>
      </c>
      <c r="H383" s="10">
        <f>0</f>
        <v>0</v>
      </c>
    </row>
    <row r="384" spans="1:8" ht="24" x14ac:dyDescent="0.2">
      <c r="A384" s="47"/>
      <c r="B384" s="47"/>
      <c r="C384" s="20" t="s">
        <v>23</v>
      </c>
      <c r="D384" s="35" t="s">
        <v>496</v>
      </c>
      <c r="E384" s="10">
        <f>0</f>
        <v>0</v>
      </c>
      <c r="F384" s="10">
        <f>0</f>
        <v>0</v>
      </c>
      <c r="G384" s="10" t="s">
        <v>1158</v>
      </c>
      <c r="H384" s="10">
        <f>0</f>
        <v>0</v>
      </c>
    </row>
    <row r="385" spans="1:9" ht="24" x14ac:dyDescent="0.2">
      <c r="A385" s="47"/>
      <c r="B385" s="47"/>
      <c r="C385" s="20" t="s">
        <v>25</v>
      </c>
      <c r="D385" s="35" t="s">
        <v>497</v>
      </c>
      <c r="E385" s="10">
        <f>0</f>
        <v>0</v>
      </c>
      <c r="F385" s="10">
        <f>0</f>
        <v>0</v>
      </c>
      <c r="G385" s="10" t="s">
        <v>1158</v>
      </c>
      <c r="H385" s="10">
        <f>0</f>
        <v>0</v>
      </c>
    </row>
    <row r="386" spans="1:9" ht="24" x14ac:dyDescent="0.2">
      <c r="A386" s="47"/>
      <c r="B386" s="47"/>
      <c r="C386" s="20" t="s">
        <v>27</v>
      </c>
      <c r="D386" s="35" t="s">
        <v>498</v>
      </c>
      <c r="E386" s="10">
        <f>0</f>
        <v>0</v>
      </c>
      <c r="F386" s="10">
        <f>0</f>
        <v>0</v>
      </c>
      <c r="G386" s="10" t="s">
        <v>1158</v>
      </c>
      <c r="H386" s="10">
        <f>0</f>
        <v>0</v>
      </c>
    </row>
    <row r="387" spans="1:9" ht="36" x14ac:dyDescent="0.2">
      <c r="A387" s="47"/>
      <c r="B387" s="47"/>
      <c r="C387" s="20" t="s">
        <v>29</v>
      </c>
      <c r="D387" s="35" t="s">
        <v>499</v>
      </c>
      <c r="E387" s="10">
        <f>0</f>
        <v>0</v>
      </c>
      <c r="F387" s="10">
        <f>0</f>
        <v>0</v>
      </c>
      <c r="G387" s="10" t="s">
        <v>1158</v>
      </c>
      <c r="H387" s="10">
        <f>0</f>
        <v>0</v>
      </c>
    </row>
    <row r="388" spans="1:9" ht="36" x14ac:dyDescent="0.2">
      <c r="A388" s="47"/>
      <c r="B388" s="47"/>
      <c r="C388" s="20" t="s">
        <v>31</v>
      </c>
      <c r="D388" s="35" t="s">
        <v>500</v>
      </c>
      <c r="E388" s="10">
        <f>0</f>
        <v>0</v>
      </c>
      <c r="F388" s="10">
        <f>0</f>
        <v>0</v>
      </c>
      <c r="G388" s="10" t="s">
        <v>1158</v>
      </c>
      <c r="H388" s="10">
        <f>0</f>
        <v>0</v>
      </c>
    </row>
    <row r="389" spans="1:9" s="26" customFormat="1" ht="24" x14ac:dyDescent="0.2">
      <c r="A389" s="47"/>
      <c r="B389" s="47"/>
      <c r="C389" s="20" t="s">
        <v>33</v>
      </c>
      <c r="D389" s="35" t="s">
        <v>501</v>
      </c>
      <c r="E389" s="10">
        <f>0</f>
        <v>0</v>
      </c>
      <c r="F389" s="10">
        <f>0</f>
        <v>0</v>
      </c>
      <c r="G389" s="10" t="s">
        <v>1158</v>
      </c>
      <c r="H389" s="10">
        <f>0</f>
        <v>0</v>
      </c>
      <c r="I389" s="3"/>
    </row>
    <row r="390" spans="1:9" s="27" customFormat="1" ht="48" x14ac:dyDescent="0.2">
      <c r="A390" s="58"/>
      <c r="B390" s="58"/>
      <c r="C390" s="15" t="s">
        <v>139</v>
      </c>
      <c r="D390" s="34" t="s">
        <v>502</v>
      </c>
      <c r="E390" s="17">
        <f>E391+E399</f>
        <v>0</v>
      </c>
      <c r="F390" s="17">
        <f>F391+F399</f>
        <v>0</v>
      </c>
      <c r="G390" s="17" t="s">
        <v>1136</v>
      </c>
      <c r="H390" s="17">
        <f>H391+H399</f>
        <v>0</v>
      </c>
      <c r="I390" s="19"/>
    </row>
    <row r="391" spans="1:9" s="26" customFormat="1" ht="24" x14ac:dyDescent="0.2">
      <c r="A391" s="58"/>
      <c r="B391" s="58"/>
      <c r="C391" s="18" t="s">
        <v>178</v>
      </c>
      <c r="D391" s="35" t="s">
        <v>503</v>
      </c>
      <c r="E391" s="10">
        <f>E392+E393+E394+E395+E396+E397+E398</f>
        <v>0</v>
      </c>
      <c r="F391" s="10">
        <f>F392+F393+F394+F395+F396++F397+F398</f>
        <v>0</v>
      </c>
      <c r="G391" s="10" t="s">
        <v>1158</v>
      </c>
      <c r="H391" s="10">
        <f>H392+H393+H394+H395+H396++H397+H398</f>
        <v>0</v>
      </c>
      <c r="I391" s="3"/>
    </row>
    <row r="392" spans="1:9" s="26" customFormat="1" ht="48" x14ac:dyDescent="0.2">
      <c r="A392" s="58"/>
      <c r="B392" s="58"/>
      <c r="C392" s="20" t="s">
        <v>14</v>
      </c>
      <c r="D392" s="35" t="s">
        <v>504</v>
      </c>
      <c r="E392" s="10">
        <f>0</f>
        <v>0</v>
      </c>
      <c r="F392" s="10">
        <f>0</f>
        <v>0</v>
      </c>
      <c r="G392" s="10" t="s">
        <v>1158</v>
      </c>
      <c r="H392" s="10">
        <f>0</f>
        <v>0</v>
      </c>
      <c r="I392" s="3"/>
    </row>
    <row r="393" spans="1:9" s="26" customFormat="1" ht="48" x14ac:dyDescent="0.2">
      <c r="A393" s="58"/>
      <c r="B393" s="58"/>
      <c r="C393" s="20" t="s">
        <v>15</v>
      </c>
      <c r="D393" s="35" t="s">
        <v>505</v>
      </c>
      <c r="E393" s="10">
        <f>0</f>
        <v>0</v>
      </c>
      <c r="F393" s="10">
        <f>0</f>
        <v>0</v>
      </c>
      <c r="G393" s="10" t="s">
        <v>1158</v>
      </c>
      <c r="H393" s="10">
        <f>0</f>
        <v>0</v>
      </c>
      <c r="I393" s="3"/>
    </row>
    <row r="394" spans="1:9" s="26" customFormat="1" ht="60" x14ac:dyDescent="0.2">
      <c r="A394" s="58"/>
      <c r="B394" s="58"/>
      <c r="C394" s="20" t="s">
        <v>17</v>
      </c>
      <c r="D394" s="35" t="s">
        <v>506</v>
      </c>
      <c r="E394" s="10">
        <f>0</f>
        <v>0</v>
      </c>
      <c r="F394" s="10">
        <f>0</f>
        <v>0</v>
      </c>
      <c r="G394" s="10" t="s">
        <v>1158</v>
      </c>
      <c r="H394" s="10">
        <f>0</f>
        <v>0</v>
      </c>
      <c r="I394" s="3"/>
    </row>
    <row r="395" spans="1:9" s="26" customFormat="1" ht="36" x14ac:dyDescent="0.2">
      <c r="A395" s="58"/>
      <c r="B395" s="58"/>
      <c r="C395" s="20" t="s">
        <v>19</v>
      </c>
      <c r="D395" s="35" t="s">
        <v>507</v>
      </c>
      <c r="E395" s="10">
        <f>0</f>
        <v>0</v>
      </c>
      <c r="F395" s="10">
        <f>0</f>
        <v>0</v>
      </c>
      <c r="G395" s="10" t="s">
        <v>1158</v>
      </c>
      <c r="H395" s="10">
        <f>0</f>
        <v>0</v>
      </c>
      <c r="I395" s="3"/>
    </row>
    <row r="396" spans="1:9" s="26" customFormat="1" ht="72" x14ac:dyDescent="0.2">
      <c r="A396" s="58"/>
      <c r="B396" s="58"/>
      <c r="C396" s="20" t="s">
        <v>21</v>
      </c>
      <c r="D396" s="35" t="s">
        <v>508</v>
      </c>
      <c r="E396" s="10">
        <f>0</f>
        <v>0</v>
      </c>
      <c r="F396" s="10">
        <f>0</f>
        <v>0</v>
      </c>
      <c r="G396" s="10" t="s">
        <v>1158</v>
      </c>
      <c r="H396" s="10">
        <f>0</f>
        <v>0</v>
      </c>
      <c r="I396" s="3"/>
    </row>
    <row r="397" spans="1:9" s="26" customFormat="1" ht="60" x14ac:dyDescent="0.2">
      <c r="A397" s="58"/>
      <c r="B397" s="58"/>
      <c r="C397" s="20" t="s">
        <v>23</v>
      </c>
      <c r="D397" s="35" t="s">
        <v>509</v>
      </c>
      <c r="E397" s="10">
        <f>0</f>
        <v>0</v>
      </c>
      <c r="F397" s="10">
        <f>0</f>
        <v>0</v>
      </c>
      <c r="G397" s="10" t="s">
        <v>1158</v>
      </c>
      <c r="H397" s="10">
        <f>0</f>
        <v>0</v>
      </c>
      <c r="I397" s="3"/>
    </row>
    <row r="398" spans="1:9" s="26" customFormat="1" ht="48" x14ac:dyDescent="0.2">
      <c r="A398" s="58"/>
      <c r="B398" s="58"/>
      <c r="C398" s="20" t="s">
        <v>25</v>
      </c>
      <c r="D398" s="35" t="s">
        <v>510</v>
      </c>
      <c r="E398" s="10">
        <f>0</f>
        <v>0</v>
      </c>
      <c r="F398" s="10">
        <f>0</f>
        <v>0</v>
      </c>
      <c r="G398" s="10" t="s">
        <v>1158</v>
      </c>
      <c r="H398" s="10">
        <f>0</f>
        <v>0</v>
      </c>
      <c r="I398" s="3"/>
    </row>
    <row r="399" spans="1:9" s="26" customFormat="1" ht="36" x14ac:dyDescent="0.2">
      <c r="A399" s="58"/>
      <c r="B399" s="58"/>
      <c r="C399" s="18" t="s">
        <v>187</v>
      </c>
      <c r="D399" s="35" t="s">
        <v>511</v>
      </c>
      <c r="E399" s="10">
        <f>E400+E401</f>
        <v>0</v>
      </c>
      <c r="F399" s="10">
        <f>F400+F401</f>
        <v>0</v>
      </c>
      <c r="G399" s="10" t="s">
        <v>1158</v>
      </c>
      <c r="H399" s="10">
        <f>H400+H401</f>
        <v>0</v>
      </c>
      <c r="I399" s="3"/>
    </row>
    <row r="400" spans="1:9" s="26" customFormat="1" ht="36" x14ac:dyDescent="0.2">
      <c r="A400" s="58"/>
      <c r="B400" s="58"/>
      <c r="C400" s="20" t="s">
        <v>98</v>
      </c>
      <c r="D400" s="35" t="s">
        <v>512</v>
      </c>
      <c r="E400" s="10">
        <f>0</f>
        <v>0</v>
      </c>
      <c r="F400" s="10">
        <f>0</f>
        <v>0</v>
      </c>
      <c r="G400" s="10" t="s">
        <v>1158</v>
      </c>
      <c r="H400" s="10">
        <f>0</f>
        <v>0</v>
      </c>
      <c r="I400" s="3"/>
    </row>
    <row r="401" spans="1:9" s="26" customFormat="1" ht="84" x14ac:dyDescent="0.2">
      <c r="A401" s="58"/>
      <c r="B401" s="58"/>
      <c r="C401" s="20" t="s">
        <v>190</v>
      </c>
      <c r="D401" s="35" t="s">
        <v>513</v>
      </c>
      <c r="E401" s="10">
        <f>0</f>
        <v>0</v>
      </c>
      <c r="F401" s="10">
        <f>0</f>
        <v>0</v>
      </c>
      <c r="G401" s="10" t="s">
        <v>1158</v>
      </c>
      <c r="H401" s="10">
        <f>0</f>
        <v>0</v>
      </c>
      <c r="I401" s="3"/>
    </row>
    <row r="402" spans="1:9" s="26" customFormat="1" x14ac:dyDescent="0.2">
      <c r="A402" s="58"/>
      <c r="B402" s="58"/>
      <c r="C402" s="57" t="s">
        <v>13</v>
      </c>
      <c r="D402" s="66"/>
      <c r="E402" s="21">
        <f>E325+E348+E334+E358+E377+E364+E390</f>
        <v>187086.83000000002</v>
      </c>
      <c r="F402" s="21">
        <f>F325+F348+F334+F358+F377+F364+F390</f>
        <v>27039.699999999997</v>
      </c>
      <c r="G402" s="75" t="s">
        <v>1157</v>
      </c>
      <c r="H402" s="21">
        <f>H325+H348+H334+H358+H377+H364+H390</f>
        <v>27039.699999999997</v>
      </c>
      <c r="I402" s="3"/>
    </row>
    <row r="403" spans="1:9" s="19" customFormat="1" ht="24" x14ac:dyDescent="0.2">
      <c r="A403" s="49">
        <v>5</v>
      </c>
      <c r="B403" s="49" t="s">
        <v>160</v>
      </c>
      <c r="C403" s="13" t="s">
        <v>9</v>
      </c>
      <c r="D403" s="32" t="s">
        <v>1160</v>
      </c>
      <c r="E403" s="17">
        <f>E404</f>
        <v>2550</v>
      </c>
      <c r="F403" s="17">
        <f>F404</f>
        <v>240.4</v>
      </c>
      <c r="G403" s="17" t="s">
        <v>1161</v>
      </c>
      <c r="H403" s="17">
        <f>H404</f>
        <v>240.4</v>
      </c>
    </row>
    <row r="404" spans="1:9" ht="24" x14ac:dyDescent="0.2">
      <c r="A404" s="50"/>
      <c r="B404" s="50"/>
      <c r="C404" s="11" t="s">
        <v>178</v>
      </c>
      <c r="D404" s="33" t="s">
        <v>514</v>
      </c>
      <c r="E404" s="10">
        <f>E405+E406+E407+E408+E410+E409</f>
        <v>2550</v>
      </c>
      <c r="F404" s="10">
        <f>F405+F406+F407+F408+F409+F410</f>
        <v>240.4</v>
      </c>
      <c r="G404" s="10" t="s">
        <v>1161</v>
      </c>
      <c r="H404" s="10">
        <f>H405+H406+H407+H408+H409+H410</f>
        <v>240.4</v>
      </c>
    </row>
    <row r="405" spans="1:9" x14ac:dyDescent="0.2">
      <c r="A405" s="50"/>
      <c r="B405" s="50"/>
      <c r="C405" s="14" t="s">
        <v>14</v>
      </c>
      <c r="D405" s="33" t="s">
        <v>515</v>
      </c>
      <c r="E405" s="10">
        <f>900</f>
        <v>900</v>
      </c>
      <c r="F405" s="10">
        <f>240.4</f>
        <v>240.4</v>
      </c>
      <c r="G405" s="10" t="s">
        <v>1162</v>
      </c>
      <c r="H405" s="10">
        <f>240.4</f>
        <v>240.4</v>
      </c>
    </row>
    <row r="406" spans="1:9" ht="24" x14ac:dyDescent="0.2">
      <c r="A406" s="50"/>
      <c r="B406" s="50"/>
      <c r="C406" s="14" t="s">
        <v>15</v>
      </c>
      <c r="D406" s="33" t="s">
        <v>516</v>
      </c>
      <c r="E406" s="10">
        <f>0</f>
        <v>0</v>
      </c>
      <c r="F406" s="10">
        <f>0</f>
        <v>0</v>
      </c>
      <c r="G406" s="10" t="s">
        <v>1158</v>
      </c>
      <c r="H406" s="10">
        <f>0</f>
        <v>0</v>
      </c>
    </row>
    <row r="407" spans="1:9" ht="24" x14ac:dyDescent="0.2">
      <c r="A407" s="50"/>
      <c r="B407" s="50"/>
      <c r="C407" s="14" t="s">
        <v>17</v>
      </c>
      <c r="D407" s="33" t="s">
        <v>517</v>
      </c>
      <c r="E407" s="10">
        <f>0</f>
        <v>0</v>
      </c>
      <c r="F407" s="10">
        <f>0</f>
        <v>0</v>
      </c>
      <c r="G407" s="10" t="s">
        <v>1158</v>
      </c>
      <c r="H407" s="10">
        <f>0</f>
        <v>0</v>
      </c>
    </row>
    <row r="408" spans="1:9" ht="24" x14ac:dyDescent="0.2">
      <c r="A408" s="50"/>
      <c r="B408" s="50"/>
      <c r="C408" s="14" t="s">
        <v>19</v>
      </c>
      <c r="D408" s="33" t="s">
        <v>518</v>
      </c>
      <c r="E408" s="10">
        <f>450</f>
        <v>450</v>
      </c>
      <c r="F408" s="10">
        <f>0</f>
        <v>0</v>
      </c>
      <c r="G408" s="10" t="s">
        <v>1163</v>
      </c>
      <c r="H408" s="10">
        <f>0</f>
        <v>0</v>
      </c>
    </row>
    <row r="409" spans="1:9" ht="24" x14ac:dyDescent="0.2">
      <c r="A409" s="50"/>
      <c r="B409" s="50"/>
      <c r="C409" s="14" t="s">
        <v>21</v>
      </c>
      <c r="D409" s="33" t="s">
        <v>519</v>
      </c>
      <c r="E409" s="10">
        <f>0</f>
        <v>0</v>
      </c>
      <c r="F409" s="10">
        <f>0</f>
        <v>0</v>
      </c>
      <c r="G409" s="10" t="s">
        <v>1158</v>
      </c>
      <c r="H409" s="10">
        <f>0</f>
        <v>0</v>
      </c>
    </row>
    <row r="410" spans="1:9" ht="36" x14ac:dyDescent="0.2">
      <c r="A410" s="50"/>
      <c r="B410" s="50"/>
      <c r="C410" s="14" t="s">
        <v>23</v>
      </c>
      <c r="D410" s="33" t="s">
        <v>520</v>
      </c>
      <c r="E410" s="10">
        <f>1200</f>
        <v>1200</v>
      </c>
      <c r="F410" s="10">
        <f>0</f>
        <v>0</v>
      </c>
      <c r="G410" s="10" t="s">
        <v>165</v>
      </c>
      <c r="H410" s="10">
        <f>0</f>
        <v>0</v>
      </c>
    </row>
    <row r="411" spans="1:9" s="19" customFormat="1" ht="36" x14ac:dyDescent="0.2">
      <c r="A411" s="50"/>
      <c r="B411" s="50"/>
      <c r="C411" s="13" t="s">
        <v>10</v>
      </c>
      <c r="D411" s="32" t="s">
        <v>521</v>
      </c>
      <c r="E411" s="17">
        <f>E412</f>
        <v>78928.600000000006</v>
      </c>
      <c r="F411" s="17">
        <f>F412</f>
        <v>20099.3</v>
      </c>
      <c r="G411" s="17" t="s">
        <v>1020</v>
      </c>
      <c r="H411" s="17">
        <f>H412</f>
        <v>20099.3</v>
      </c>
    </row>
    <row r="412" spans="1:9" ht="36" x14ac:dyDescent="0.2">
      <c r="A412" s="50"/>
      <c r="B412" s="50"/>
      <c r="C412" s="11" t="s">
        <v>178</v>
      </c>
      <c r="D412" s="33" t="s">
        <v>522</v>
      </c>
      <c r="E412" s="10">
        <f>E413+E414+E415+E419</f>
        <v>78928.600000000006</v>
      </c>
      <c r="F412" s="10">
        <f>F413+F414+F415+F419</f>
        <v>20099.3</v>
      </c>
      <c r="G412" s="10" t="s">
        <v>1020</v>
      </c>
      <c r="H412" s="10">
        <f>H413+H414+H415+H419</f>
        <v>20099.3</v>
      </c>
    </row>
    <row r="413" spans="1:9" ht="36" x14ac:dyDescent="0.2">
      <c r="A413" s="50"/>
      <c r="B413" s="50"/>
      <c r="C413" s="14" t="s">
        <v>14</v>
      </c>
      <c r="D413" s="33" t="s">
        <v>523</v>
      </c>
      <c r="E413" s="10">
        <f>9200</f>
        <v>9200</v>
      </c>
      <c r="F413" s="10">
        <f>0</f>
        <v>0</v>
      </c>
      <c r="G413" s="10" t="s">
        <v>165</v>
      </c>
      <c r="H413" s="10">
        <f>0</f>
        <v>0</v>
      </c>
    </row>
    <row r="414" spans="1:9" ht="24" x14ac:dyDescent="0.2">
      <c r="A414" s="50"/>
      <c r="B414" s="50"/>
      <c r="C414" s="14" t="s">
        <v>15</v>
      </c>
      <c r="D414" s="33" t="s">
        <v>524</v>
      </c>
      <c r="E414" s="10">
        <f>0</f>
        <v>0</v>
      </c>
      <c r="F414" s="10">
        <f>0</f>
        <v>0</v>
      </c>
      <c r="G414" s="10" t="s">
        <v>1158</v>
      </c>
      <c r="H414" s="10">
        <f>0</f>
        <v>0</v>
      </c>
    </row>
    <row r="415" spans="1:9" ht="36" x14ac:dyDescent="0.2">
      <c r="A415" s="50"/>
      <c r="B415" s="50"/>
      <c r="C415" s="14" t="s">
        <v>17</v>
      </c>
      <c r="D415" s="33" t="s">
        <v>525</v>
      </c>
      <c r="E415" s="10">
        <f>E416+E417+E418</f>
        <v>50492.5</v>
      </c>
      <c r="F415" s="10">
        <f>F416+F417+F418</f>
        <v>14492.5</v>
      </c>
      <c r="G415" s="10" t="s">
        <v>1058</v>
      </c>
      <c r="H415" s="10">
        <f>H416+H417+H418</f>
        <v>14492.5</v>
      </c>
    </row>
    <row r="416" spans="1:9" ht="36" x14ac:dyDescent="0.2">
      <c r="A416" s="50"/>
      <c r="B416" s="50"/>
      <c r="C416" s="14" t="s">
        <v>89</v>
      </c>
      <c r="D416" s="33" t="s">
        <v>525</v>
      </c>
      <c r="E416" s="10">
        <f>48902</f>
        <v>48902</v>
      </c>
      <c r="F416" s="10">
        <f>14492.5</f>
        <v>14492.5</v>
      </c>
      <c r="G416" s="10" t="s">
        <v>1021</v>
      </c>
      <c r="H416" s="10">
        <f>14492.5</f>
        <v>14492.5</v>
      </c>
    </row>
    <row r="417" spans="1:8" ht="36" x14ac:dyDescent="0.2">
      <c r="A417" s="50"/>
      <c r="B417" s="50"/>
      <c r="C417" s="14" t="s">
        <v>91</v>
      </c>
      <c r="D417" s="33" t="s">
        <v>526</v>
      </c>
      <c r="E417" s="10">
        <f>592.5</f>
        <v>592.5</v>
      </c>
      <c r="F417" s="10">
        <f>0</f>
        <v>0</v>
      </c>
      <c r="G417" s="10" t="s">
        <v>165</v>
      </c>
      <c r="H417" s="10">
        <f>0</f>
        <v>0</v>
      </c>
    </row>
    <row r="418" spans="1:8" ht="36" x14ac:dyDescent="0.2">
      <c r="A418" s="50"/>
      <c r="B418" s="50"/>
      <c r="C418" s="14" t="s">
        <v>527</v>
      </c>
      <c r="D418" s="33" t="s">
        <v>528</v>
      </c>
      <c r="E418" s="10">
        <f>998</f>
        <v>998</v>
      </c>
      <c r="F418" s="10">
        <f>0</f>
        <v>0</v>
      </c>
      <c r="G418" s="10" t="s">
        <v>165</v>
      </c>
      <c r="H418" s="10">
        <f>0</f>
        <v>0</v>
      </c>
    </row>
    <row r="419" spans="1:8" ht="36" x14ac:dyDescent="0.2">
      <c r="A419" s="50"/>
      <c r="B419" s="50"/>
      <c r="C419" s="14" t="s">
        <v>19</v>
      </c>
      <c r="D419" s="33" t="s">
        <v>529</v>
      </c>
      <c r="E419" s="10">
        <f>19236.1</f>
        <v>19236.099999999999</v>
      </c>
      <c r="F419" s="10">
        <f>5606.8</f>
        <v>5606.8</v>
      </c>
      <c r="G419" s="10" t="s">
        <v>1022</v>
      </c>
      <c r="H419" s="10">
        <f>5606.8</f>
        <v>5606.8</v>
      </c>
    </row>
    <row r="420" spans="1:8" s="19" customFormat="1" ht="36" x14ac:dyDescent="0.2">
      <c r="A420" s="50"/>
      <c r="B420" s="50"/>
      <c r="C420" s="13" t="s">
        <v>11</v>
      </c>
      <c r="D420" s="32" t="s">
        <v>530</v>
      </c>
      <c r="E420" s="17">
        <f>E421+E427+E431+E436</f>
        <v>26521.32</v>
      </c>
      <c r="F420" s="17">
        <f>F421+F427+F431+F436</f>
        <v>2920.7</v>
      </c>
      <c r="G420" s="17" t="s">
        <v>999</v>
      </c>
      <c r="H420" s="17">
        <f>H421+H427+H431+H436</f>
        <v>2920.7</v>
      </c>
    </row>
    <row r="421" spans="1:8" ht="36" x14ac:dyDescent="0.2">
      <c r="A421" s="50"/>
      <c r="B421" s="50"/>
      <c r="C421" s="11" t="s">
        <v>178</v>
      </c>
      <c r="D421" s="33" t="s">
        <v>531</v>
      </c>
      <c r="E421" s="10">
        <f>E422+E423+E424+E425+E426</f>
        <v>16450.48</v>
      </c>
      <c r="F421" s="10">
        <f>F422+F423+F424+F425+F426</f>
        <v>176.6</v>
      </c>
      <c r="G421" s="10" t="s">
        <v>1059</v>
      </c>
      <c r="H421" s="10">
        <f>H422+H423+H424+H425+H426</f>
        <v>176.6</v>
      </c>
    </row>
    <row r="422" spans="1:8" ht="36" x14ac:dyDescent="0.2">
      <c r="A422" s="50"/>
      <c r="B422" s="50"/>
      <c r="C422" s="14" t="s">
        <v>14</v>
      </c>
      <c r="D422" s="33" t="s">
        <v>532</v>
      </c>
      <c r="E422" s="10">
        <f>800</f>
        <v>800</v>
      </c>
      <c r="F422" s="10">
        <f>176.6</f>
        <v>176.6</v>
      </c>
      <c r="G422" s="10" t="s">
        <v>1060</v>
      </c>
      <c r="H422" s="10">
        <f>176.6</f>
        <v>176.6</v>
      </c>
    </row>
    <row r="423" spans="1:8" ht="48" x14ac:dyDescent="0.2">
      <c r="A423" s="50"/>
      <c r="B423" s="50"/>
      <c r="C423" s="14" t="s">
        <v>15</v>
      </c>
      <c r="D423" s="33" t="s">
        <v>533</v>
      </c>
      <c r="E423" s="10">
        <f>13106+1372</f>
        <v>14478</v>
      </c>
      <c r="F423" s="10">
        <f>0</f>
        <v>0</v>
      </c>
      <c r="G423" s="10" t="s">
        <v>165</v>
      </c>
      <c r="H423" s="10">
        <f>0</f>
        <v>0</v>
      </c>
    </row>
    <row r="424" spans="1:8" ht="120" x14ac:dyDescent="0.2">
      <c r="A424" s="50"/>
      <c r="B424" s="50"/>
      <c r="C424" s="14" t="s">
        <v>17</v>
      </c>
      <c r="D424" s="33" t="s">
        <v>534</v>
      </c>
      <c r="E424" s="10">
        <f>190</f>
        <v>190</v>
      </c>
      <c r="F424" s="10">
        <f>0</f>
        <v>0</v>
      </c>
      <c r="G424" s="10" t="s">
        <v>165</v>
      </c>
      <c r="H424" s="10">
        <f>0</f>
        <v>0</v>
      </c>
    </row>
    <row r="425" spans="1:8" ht="36" x14ac:dyDescent="0.2">
      <c r="A425" s="50"/>
      <c r="B425" s="50"/>
      <c r="C425" s="14" t="s">
        <v>19</v>
      </c>
      <c r="D425" s="33" t="s">
        <v>535</v>
      </c>
      <c r="E425" s="10">
        <f>290.9</f>
        <v>290.89999999999998</v>
      </c>
      <c r="F425" s="10">
        <f>0</f>
        <v>0</v>
      </c>
      <c r="G425" s="10" t="s">
        <v>165</v>
      </c>
      <c r="H425" s="10">
        <f>0</f>
        <v>0</v>
      </c>
    </row>
    <row r="426" spans="1:8" ht="36" x14ac:dyDescent="0.2">
      <c r="A426" s="50"/>
      <c r="B426" s="50"/>
      <c r="C426" s="14" t="s">
        <v>21</v>
      </c>
      <c r="D426" s="33" t="s">
        <v>1057</v>
      </c>
      <c r="E426" s="10">
        <f>691.58</f>
        <v>691.58</v>
      </c>
      <c r="F426" s="10">
        <f>0</f>
        <v>0</v>
      </c>
      <c r="G426" s="10" t="s">
        <v>165</v>
      </c>
      <c r="H426" s="10">
        <f>0</f>
        <v>0</v>
      </c>
    </row>
    <row r="427" spans="1:8" ht="36" x14ac:dyDescent="0.2">
      <c r="A427" s="50"/>
      <c r="B427" s="50"/>
      <c r="C427" s="11" t="s">
        <v>187</v>
      </c>
      <c r="D427" s="33" t="s">
        <v>536</v>
      </c>
      <c r="E427" s="10">
        <f>E428+E429+E430</f>
        <v>5200.84</v>
      </c>
      <c r="F427" s="10">
        <f>F428+F429+F430</f>
        <v>374.1</v>
      </c>
      <c r="G427" s="10" t="s">
        <v>1023</v>
      </c>
      <c r="H427" s="10">
        <f>H428+H429+H430</f>
        <v>374.1</v>
      </c>
    </row>
    <row r="428" spans="1:8" ht="24" x14ac:dyDescent="0.2">
      <c r="A428" s="50"/>
      <c r="B428" s="50"/>
      <c r="C428" s="14" t="s">
        <v>98</v>
      </c>
      <c r="D428" s="33" t="s">
        <v>537</v>
      </c>
      <c r="E428" s="10">
        <f>0</f>
        <v>0</v>
      </c>
      <c r="F428" s="10">
        <f>0</f>
        <v>0</v>
      </c>
      <c r="G428" s="10" t="s">
        <v>1158</v>
      </c>
      <c r="H428" s="10">
        <f>0</f>
        <v>0</v>
      </c>
    </row>
    <row r="429" spans="1:8" ht="48" x14ac:dyDescent="0.2">
      <c r="A429" s="50"/>
      <c r="B429" s="50"/>
      <c r="C429" s="14" t="s">
        <v>190</v>
      </c>
      <c r="D429" s="33" t="s">
        <v>538</v>
      </c>
      <c r="E429" s="10">
        <f>0</f>
        <v>0</v>
      </c>
      <c r="F429" s="10">
        <f>0</f>
        <v>0</v>
      </c>
      <c r="G429" s="10" t="s">
        <v>1158</v>
      </c>
      <c r="H429" s="10">
        <f>0</f>
        <v>0</v>
      </c>
    </row>
    <row r="430" spans="1:8" ht="36" x14ac:dyDescent="0.2">
      <c r="A430" s="50"/>
      <c r="B430" s="50"/>
      <c r="C430" s="14" t="s">
        <v>192</v>
      </c>
      <c r="D430" s="33" t="s">
        <v>539</v>
      </c>
      <c r="E430" s="10">
        <f>5200.84</f>
        <v>5200.84</v>
      </c>
      <c r="F430" s="10">
        <f>374.1</f>
        <v>374.1</v>
      </c>
      <c r="G430" s="10" t="s">
        <v>1023</v>
      </c>
      <c r="H430" s="10">
        <f>374.1</f>
        <v>374.1</v>
      </c>
    </row>
    <row r="431" spans="1:8" ht="36" x14ac:dyDescent="0.2">
      <c r="A431" s="50"/>
      <c r="B431" s="50"/>
      <c r="C431" s="11" t="s">
        <v>202</v>
      </c>
      <c r="D431" s="33" t="s">
        <v>540</v>
      </c>
      <c r="E431" s="10">
        <f>E432+E433+E434+E435</f>
        <v>4870</v>
      </c>
      <c r="F431" s="10">
        <f>F432+F433+F434+F435</f>
        <v>2370</v>
      </c>
      <c r="G431" s="10" t="s">
        <v>1061</v>
      </c>
      <c r="H431" s="10">
        <f>H432+H433+H434+H435</f>
        <v>2370</v>
      </c>
    </row>
    <row r="432" spans="1:8" ht="48" x14ac:dyDescent="0.2">
      <c r="A432" s="50"/>
      <c r="B432" s="50"/>
      <c r="C432" s="14" t="s">
        <v>104</v>
      </c>
      <c r="D432" s="33" t="s">
        <v>541</v>
      </c>
      <c r="E432" s="10">
        <f>4870</f>
        <v>4870</v>
      </c>
      <c r="F432" s="10">
        <f>2370</f>
        <v>2370</v>
      </c>
      <c r="G432" s="10" t="s">
        <v>1061</v>
      </c>
      <c r="H432" s="10">
        <f>2370</f>
        <v>2370</v>
      </c>
    </row>
    <row r="433" spans="1:9" ht="24" x14ac:dyDescent="0.2">
      <c r="A433" s="50"/>
      <c r="B433" s="50"/>
      <c r="C433" s="14" t="s">
        <v>205</v>
      </c>
      <c r="D433" s="33" t="s">
        <v>542</v>
      </c>
      <c r="E433" s="10">
        <f>0</f>
        <v>0</v>
      </c>
      <c r="F433" s="10">
        <f>0</f>
        <v>0</v>
      </c>
      <c r="G433" s="10" t="s">
        <v>1158</v>
      </c>
      <c r="H433" s="10">
        <f>0</f>
        <v>0</v>
      </c>
    </row>
    <row r="434" spans="1:9" ht="36" x14ac:dyDescent="0.2">
      <c r="A434" s="50"/>
      <c r="B434" s="50"/>
      <c r="C434" s="14" t="s">
        <v>207</v>
      </c>
      <c r="D434" s="33" t="s">
        <v>543</v>
      </c>
      <c r="E434" s="10">
        <f>0</f>
        <v>0</v>
      </c>
      <c r="F434" s="10">
        <f>0</f>
        <v>0</v>
      </c>
      <c r="G434" s="10" t="s">
        <v>1158</v>
      </c>
      <c r="H434" s="10">
        <f>0</f>
        <v>0</v>
      </c>
    </row>
    <row r="435" spans="1:9" ht="24" x14ac:dyDescent="0.2">
      <c r="A435" s="50"/>
      <c r="B435" s="50"/>
      <c r="C435" s="14" t="s">
        <v>244</v>
      </c>
      <c r="D435" s="33" t="s">
        <v>544</v>
      </c>
      <c r="E435" s="10">
        <f>0</f>
        <v>0</v>
      </c>
      <c r="F435" s="10">
        <f>0</f>
        <v>0</v>
      </c>
      <c r="G435" s="10" t="s">
        <v>1158</v>
      </c>
      <c r="H435" s="10">
        <f>0</f>
        <v>0</v>
      </c>
    </row>
    <row r="436" spans="1:9" ht="24" x14ac:dyDescent="0.2">
      <c r="A436" s="50"/>
      <c r="B436" s="50"/>
      <c r="C436" s="11" t="s">
        <v>209</v>
      </c>
      <c r="D436" s="33" t="s">
        <v>545</v>
      </c>
      <c r="E436" s="10">
        <f>E437</f>
        <v>0</v>
      </c>
      <c r="F436" s="10">
        <f>F437</f>
        <v>0</v>
      </c>
      <c r="G436" s="10" t="s">
        <v>1158</v>
      </c>
      <c r="H436" s="10">
        <f>H437</f>
        <v>0</v>
      </c>
    </row>
    <row r="437" spans="1:9" ht="36" x14ac:dyDescent="0.2">
      <c r="A437" s="50"/>
      <c r="B437" s="50"/>
      <c r="C437" s="14" t="s">
        <v>112</v>
      </c>
      <c r="D437" s="33" t="s">
        <v>546</v>
      </c>
      <c r="E437" s="10">
        <v>0</v>
      </c>
      <c r="F437" s="10">
        <v>0</v>
      </c>
      <c r="G437" s="10" t="s">
        <v>1158</v>
      </c>
      <c r="H437" s="10">
        <v>0</v>
      </c>
    </row>
    <row r="438" spans="1:9" ht="48" x14ac:dyDescent="0.2">
      <c r="A438" s="50"/>
      <c r="B438" s="50"/>
      <c r="C438" s="13" t="s">
        <v>12</v>
      </c>
      <c r="D438" s="32" t="s">
        <v>547</v>
      </c>
      <c r="E438" s="17">
        <f>E439</f>
        <v>0</v>
      </c>
      <c r="F438" s="17">
        <f>F439</f>
        <v>0</v>
      </c>
      <c r="G438" s="17" t="s">
        <v>1136</v>
      </c>
      <c r="H438" s="17">
        <f>H439</f>
        <v>0</v>
      </c>
    </row>
    <row r="439" spans="1:9" ht="24" x14ac:dyDescent="0.2">
      <c r="A439" s="50"/>
      <c r="B439" s="50"/>
      <c r="C439" s="11" t="s">
        <v>178</v>
      </c>
      <c r="D439" s="33" t="s">
        <v>548</v>
      </c>
      <c r="E439" s="10">
        <f>E440</f>
        <v>0</v>
      </c>
      <c r="F439" s="10">
        <f>F440</f>
        <v>0</v>
      </c>
      <c r="G439" s="10" t="s">
        <v>1158</v>
      </c>
      <c r="H439" s="10">
        <f>H440</f>
        <v>0</v>
      </c>
    </row>
    <row r="440" spans="1:9" ht="36" x14ac:dyDescent="0.2">
      <c r="A440" s="50"/>
      <c r="B440" s="50"/>
      <c r="C440" s="14" t="s">
        <v>14</v>
      </c>
      <c r="D440" s="33" t="s">
        <v>549</v>
      </c>
      <c r="E440" s="10">
        <f>0</f>
        <v>0</v>
      </c>
      <c r="F440" s="10">
        <f>0</f>
        <v>0</v>
      </c>
      <c r="G440" s="10" t="s">
        <v>1158</v>
      </c>
      <c r="H440" s="10">
        <f>0</f>
        <v>0</v>
      </c>
    </row>
    <row r="441" spans="1:9" ht="24" x14ac:dyDescent="0.2">
      <c r="A441" s="50"/>
      <c r="B441" s="50"/>
      <c r="C441" s="59" t="s">
        <v>13</v>
      </c>
      <c r="D441" s="67"/>
      <c r="E441" s="21">
        <f>E403+E411+E420++E438</f>
        <v>107999.92000000001</v>
      </c>
      <c r="F441" s="21">
        <f>F403+F411+F420+F438</f>
        <v>23260.400000000001</v>
      </c>
      <c r="G441" s="75" t="s">
        <v>1159</v>
      </c>
      <c r="H441" s="21">
        <f>H403+H411+H420+H438</f>
        <v>23260.400000000001</v>
      </c>
    </row>
    <row r="442" spans="1:9" s="19" customFormat="1" ht="36" x14ac:dyDescent="0.2">
      <c r="A442" s="47">
        <v>6</v>
      </c>
      <c r="B442" s="47" t="s">
        <v>151</v>
      </c>
      <c r="C442" s="13" t="s">
        <v>9</v>
      </c>
      <c r="D442" s="32" t="s">
        <v>550</v>
      </c>
      <c r="E442" s="17">
        <f>E443</f>
        <v>19388.48</v>
      </c>
      <c r="F442" s="17">
        <f>F443</f>
        <v>7150</v>
      </c>
      <c r="G442" s="17" t="s">
        <v>1047</v>
      </c>
      <c r="H442" s="17">
        <f>H443</f>
        <v>7150</v>
      </c>
    </row>
    <row r="443" spans="1:9" ht="48" x14ac:dyDescent="0.2">
      <c r="A443" s="47"/>
      <c r="B443" s="47"/>
      <c r="C443" s="11" t="s">
        <v>178</v>
      </c>
      <c r="D443" s="33" t="s">
        <v>551</v>
      </c>
      <c r="E443" s="42">
        <f>E444</f>
        <v>19388.48</v>
      </c>
      <c r="F443" s="10">
        <f>F444</f>
        <v>7150</v>
      </c>
      <c r="G443" s="10" t="s">
        <v>1047</v>
      </c>
      <c r="H443" s="10">
        <f>H444</f>
        <v>7150</v>
      </c>
    </row>
    <row r="444" spans="1:9" ht="36" x14ac:dyDescent="0.2">
      <c r="A444" s="47"/>
      <c r="B444" s="47"/>
      <c r="C444" s="14" t="s">
        <v>14</v>
      </c>
      <c r="D444" s="33" t="s">
        <v>552</v>
      </c>
      <c r="E444" s="10">
        <f>602.3+2246.1+2912.8+13627.28</f>
        <v>19388.48</v>
      </c>
      <c r="F444" s="10">
        <f>172.03+641.6+641.62+5694.75</f>
        <v>7150</v>
      </c>
      <c r="G444" s="10" t="s">
        <v>1047</v>
      </c>
      <c r="H444" s="10">
        <f>172.03+641.6+641.62+5694.75</f>
        <v>7150</v>
      </c>
    </row>
    <row r="445" spans="1:9" s="27" customFormat="1" ht="48" x14ac:dyDescent="0.2">
      <c r="A445" s="47"/>
      <c r="B445" s="47"/>
      <c r="C445" s="13" t="s">
        <v>10</v>
      </c>
      <c r="D445" s="32" t="s">
        <v>553</v>
      </c>
      <c r="E445" s="17">
        <f>E446+E449</f>
        <v>32225.7</v>
      </c>
      <c r="F445" s="17">
        <f>F446+F449</f>
        <v>8742.25</v>
      </c>
      <c r="G445" s="17" t="s">
        <v>1024</v>
      </c>
      <c r="H445" s="17">
        <f>H446+H449</f>
        <v>8742.25</v>
      </c>
      <c r="I445" s="19"/>
    </row>
    <row r="446" spans="1:9" ht="60" x14ac:dyDescent="0.2">
      <c r="A446" s="47"/>
      <c r="B446" s="47"/>
      <c r="C446" s="11" t="s">
        <v>178</v>
      </c>
      <c r="D446" s="33" t="s">
        <v>554</v>
      </c>
      <c r="E446" s="10">
        <f>E447+E448</f>
        <v>31705.7</v>
      </c>
      <c r="F446" s="10">
        <f>F447+F448</f>
        <v>8742.25</v>
      </c>
      <c r="G446" s="10" t="s">
        <v>1025</v>
      </c>
      <c r="H446" s="10">
        <f>H447+H448</f>
        <v>8742.25</v>
      </c>
    </row>
    <row r="447" spans="1:9" ht="72" x14ac:dyDescent="0.2">
      <c r="A447" s="47"/>
      <c r="B447" s="47"/>
      <c r="C447" s="14" t="s">
        <v>14</v>
      </c>
      <c r="D447" s="33" t="s">
        <v>555</v>
      </c>
      <c r="E447" s="10">
        <f>30747+958.7</f>
        <v>31705.7</v>
      </c>
      <c r="F447" s="10">
        <f>8742.25</f>
        <v>8742.25</v>
      </c>
      <c r="G447" s="10" t="s">
        <v>1025</v>
      </c>
      <c r="H447" s="10">
        <f>8742.25</f>
        <v>8742.25</v>
      </c>
    </row>
    <row r="448" spans="1:9" ht="48" x14ac:dyDescent="0.2">
      <c r="A448" s="47"/>
      <c r="B448" s="47"/>
      <c r="C448" s="14" t="s">
        <v>15</v>
      </c>
      <c r="D448" s="33" t="s">
        <v>556</v>
      </c>
      <c r="E448" s="10">
        <f>0</f>
        <v>0</v>
      </c>
      <c r="F448" s="10">
        <f>0</f>
        <v>0</v>
      </c>
      <c r="G448" s="10" t="s">
        <v>1158</v>
      </c>
      <c r="H448" s="10">
        <f>0</f>
        <v>0</v>
      </c>
    </row>
    <row r="449" spans="1:8" ht="84" x14ac:dyDescent="0.2">
      <c r="A449" s="47"/>
      <c r="B449" s="47"/>
      <c r="C449" s="11" t="s">
        <v>187</v>
      </c>
      <c r="D449" s="33" t="s">
        <v>557</v>
      </c>
      <c r="E449" s="10">
        <f>520</f>
        <v>520</v>
      </c>
      <c r="F449" s="10">
        <f>0</f>
        <v>0</v>
      </c>
      <c r="G449" s="10" t="s">
        <v>165</v>
      </c>
      <c r="H449" s="10">
        <f>0</f>
        <v>0</v>
      </c>
    </row>
    <row r="450" spans="1:8" s="19" customFormat="1" ht="48" x14ac:dyDescent="0.2">
      <c r="A450" s="47"/>
      <c r="B450" s="47"/>
      <c r="C450" s="13" t="s">
        <v>11</v>
      </c>
      <c r="D450" s="38" t="s">
        <v>558</v>
      </c>
      <c r="E450" s="17">
        <f>E451</f>
        <v>0</v>
      </c>
      <c r="F450" s="17">
        <f>F451</f>
        <v>0</v>
      </c>
      <c r="G450" s="17" t="s">
        <v>1136</v>
      </c>
      <c r="H450" s="17">
        <f>H451</f>
        <v>0</v>
      </c>
    </row>
    <row r="451" spans="1:8" ht="168" x14ac:dyDescent="0.2">
      <c r="A451" s="47"/>
      <c r="B451" s="47"/>
      <c r="C451" s="11" t="s">
        <v>178</v>
      </c>
      <c r="D451" s="33" t="s">
        <v>559</v>
      </c>
      <c r="E451" s="10">
        <f>E452</f>
        <v>0</v>
      </c>
      <c r="F451" s="10">
        <f>F452</f>
        <v>0</v>
      </c>
      <c r="G451" s="10" t="s">
        <v>1158</v>
      </c>
      <c r="H451" s="10">
        <f>H452</f>
        <v>0</v>
      </c>
    </row>
    <row r="452" spans="1:8" ht="96" x14ac:dyDescent="0.2">
      <c r="A452" s="47"/>
      <c r="B452" s="47"/>
      <c r="C452" s="14" t="s">
        <v>14</v>
      </c>
      <c r="D452" s="33" t="s">
        <v>560</v>
      </c>
      <c r="E452" s="10">
        <f>0</f>
        <v>0</v>
      </c>
      <c r="F452" s="10">
        <f>0</f>
        <v>0</v>
      </c>
      <c r="G452" s="10" t="s">
        <v>1158</v>
      </c>
      <c r="H452" s="10">
        <f>0</f>
        <v>0</v>
      </c>
    </row>
    <row r="453" spans="1:8" s="19" customFormat="1" ht="48" x14ac:dyDescent="0.2">
      <c r="A453" s="47"/>
      <c r="B453" s="47"/>
      <c r="C453" s="13" t="s">
        <v>12</v>
      </c>
      <c r="D453" s="39" t="s">
        <v>561</v>
      </c>
      <c r="E453" s="17">
        <f>E454+E456+E459+E462+E466+E468+E471+E473</f>
        <v>236000</v>
      </c>
      <c r="F453" s="17">
        <f>F454+F456+F459+F462+F466+F468+F471+F473</f>
        <v>0</v>
      </c>
      <c r="G453" s="17" t="s">
        <v>1136</v>
      </c>
      <c r="H453" s="17">
        <f>H454+H456+H459+H462+H466+H468+H471+H473</f>
        <v>0</v>
      </c>
    </row>
    <row r="454" spans="1:8" ht="36" x14ac:dyDescent="0.2">
      <c r="A454" s="47"/>
      <c r="B454" s="47"/>
      <c r="C454" s="11" t="s">
        <v>178</v>
      </c>
      <c r="D454" s="33" t="s">
        <v>562</v>
      </c>
      <c r="E454" s="10">
        <f>E455</f>
        <v>0</v>
      </c>
      <c r="F454" s="10">
        <f>F455</f>
        <v>0</v>
      </c>
      <c r="G454" s="10" t="s">
        <v>1158</v>
      </c>
      <c r="H454" s="10">
        <f>H455</f>
        <v>0</v>
      </c>
    </row>
    <row r="455" spans="1:8" ht="36" x14ac:dyDescent="0.2">
      <c r="A455" s="47"/>
      <c r="B455" s="47"/>
      <c r="C455" s="14" t="s">
        <v>14</v>
      </c>
      <c r="D455" s="33" t="s">
        <v>563</v>
      </c>
      <c r="E455" s="10">
        <f>0</f>
        <v>0</v>
      </c>
      <c r="F455" s="10">
        <f>0</f>
        <v>0</v>
      </c>
      <c r="G455" s="10" t="s">
        <v>1158</v>
      </c>
      <c r="H455" s="10">
        <f>0</f>
        <v>0</v>
      </c>
    </row>
    <row r="456" spans="1:8" ht="24" x14ac:dyDescent="0.2">
      <c r="A456" s="47"/>
      <c r="B456" s="47"/>
      <c r="C456" s="11" t="s">
        <v>187</v>
      </c>
      <c r="D456" s="33" t="s">
        <v>564</v>
      </c>
      <c r="E456" s="10">
        <f>E457+E458</f>
        <v>0</v>
      </c>
      <c r="F456" s="10">
        <f>F457+F458</f>
        <v>0</v>
      </c>
      <c r="G456" s="10" t="s">
        <v>1158</v>
      </c>
      <c r="H456" s="10">
        <f>H457+H458</f>
        <v>0</v>
      </c>
    </row>
    <row r="457" spans="1:8" ht="36" x14ac:dyDescent="0.2">
      <c r="A457" s="47"/>
      <c r="B457" s="47"/>
      <c r="C457" s="14" t="s">
        <v>98</v>
      </c>
      <c r="D457" s="33" t="s">
        <v>565</v>
      </c>
      <c r="E457" s="10">
        <f>0</f>
        <v>0</v>
      </c>
      <c r="F457" s="10">
        <f>0</f>
        <v>0</v>
      </c>
      <c r="G457" s="10" t="s">
        <v>1158</v>
      </c>
      <c r="H457" s="10">
        <f>0</f>
        <v>0</v>
      </c>
    </row>
    <row r="458" spans="1:8" ht="36" x14ac:dyDescent="0.2">
      <c r="A458" s="47"/>
      <c r="B458" s="47"/>
      <c r="C458" s="14" t="s">
        <v>190</v>
      </c>
      <c r="D458" s="33" t="s">
        <v>566</v>
      </c>
      <c r="E458" s="10">
        <f>0</f>
        <v>0</v>
      </c>
      <c r="F458" s="10">
        <f>0</f>
        <v>0</v>
      </c>
      <c r="G458" s="10" t="s">
        <v>1158</v>
      </c>
      <c r="H458" s="10">
        <f>0</f>
        <v>0</v>
      </c>
    </row>
    <row r="459" spans="1:8" ht="48" x14ac:dyDescent="0.2">
      <c r="A459" s="47"/>
      <c r="B459" s="47"/>
      <c r="C459" s="11" t="s">
        <v>202</v>
      </c>
      <c r="D459" s="33" t="s">
        <v>567</v>
      </c>
      <c r="E459" s="10">
        <f>E460+E461</f>
        <v>0</v>
      </c>
      <c r="F459" s="10">
        <f>F460+F461</f>
        <v>0</v>
      </c>
      <c r="G459" s="10" t="s">
        <v>1158</v>
      </c>
      <c r="H459" s="10">
        <f>H460+H461</f>
        <v>0</v>
      </c>
    </row>
    <row r="460" spans="1:8" ht="36" x14ac:dyDescent="0.2">
      <c r="A460" s="47"/>
      <c r="B460" s="47"/>
      <c r="C460" s="14" t="s">
        <v>104</v>
      </c>
      <c r="D460" s="33" t="s">
        <v>568</v>
      </c>
      <c r="E460" s="10">
        <f>0</f>
        <v>0</v>
      </c>
      <c r="F460" s="10">
        <f>0</f>
        <v>0</v>
      </c>
      <c r="G460" s="10" t="s">
        <v>1158</v>
      </c>
      <c r="H460" s="10">
        <f>0</f>
        <v>0</v>
      </c>
    </row>
    <row r="461" spans="1:8" ht="48" x14ac:dyDescent="0.2">
      <c r="A461" s="47"/>
      <c r="B461" s="47"/>
      <c r="C461" s="14" t="s">
        <v>205</v>
      </c>
      <c r="D461" s="33" t="s">
        <v>569</v>
      </c>
      <c r="E461" s="10">
        <f>0</f>
        <v>0</v>
      </c>
      <c r="F461" s="10">
        <f>0</f>
        <v>0</v>
      </c>
      <c r="G461" s="10" t="s">
        <v>1158</v>
      </c>
      <c r="H461" s="10">
        <f>0</f>
        <v>0</v>
      </c>
    </row>
    <row r="462" spans="1:8" ht="36" x14ac:dyDescent="0.2">
      <c r="A462" s="47"/>
      <c r="B462" s="47"/>
      <c r="C462" s="11" t="s">
        <v>209</v>
      </c>
      <c r="D462" s="33" t="s">
        <v>570</v>
      </c>
      <c r="E462" s="10">
        <f>E463+E464+E465</f>
        <v>0</v>
      </c>
      <c r="F462" s="10">
        <f>F463+F464+F465</f>
        <v>0</v>
      </c>
      <c r="G462" s="10" t="s">
        <v>1158</v>
      </c>
      <c r="H462" s="10">
        <f>H463+H464+H465</f>
        <v>0</v>
      </c>
    </row>
    <row r="463" spans="1:8" ht="60" x14ac:dyDescent="0.2">
      <c r="A463" s="47"/>
      <c r="B463" s="47"/>
      <c r="C463" s="14" t="s">
        <v>112</v>
      </c>
      <c r="D463" s="33" t="s">
        <v>571</v>
      </c>
      <c r="E463" s="10">
        <f>0</f>
        <v>0</v>
      </c>
      <c r="F463" s="10">
        <f>0</f>
        <v>0</v>
      </c>
      <c r="G463" s="10" t="s">
        <v>1158</v>
      </c>
      <c r="H463" s="10">
        <f>0</f>
        <v>0</v>
      </c>
    </row>
    <row r="464" spans="1:8" ht="36" x14ac:dyDescent="0.2">
      <c r="A464" s="47"/>
      <c r="B464" s="47"/>
      <c r="C464" s="14" t="s">
        <v>212</v>
      </c>
      <c r="D464" s="33" t="s">
        <v>572</v>
      </c>
      <c r="E464" s="10">
        <f>0</f>
        <v>0</v>
      </c>
      <c r="F464" s="10">
        <f>0</f>
        <v>0</v>
      </c>
      <c r="G464" s="10" t="s">
        <v>1158</v>
      </c>
      <c r="H464" s="10">
        <f>0</f>
        <v>0</v>
      </c>
    </row>
    <row r="465" spans="1:8" ht="48" x14ac:dyDescent="0.2">
      <c r="A465" s="47"/>
      <c r="B465" s="47"/>
      <c r="C465" s="14" t="s">
        <v>249</v>
      </c>
      <c r="D465" s="33" t="s">
        <v>573</v>
      </c>
      <c r="E465" s="10">
        <f>0</f>
        <v>0</v>
      </c>
      <c r="F465" s="10">
        <f>0</f>
        <v>0</v>
      </c>
      <c r="G465" s="10" t="s">
        <v>1158</v>
      </c>
      <c r="H465" s="10">
        <f>0</f>
        <v>0</v>
      </c>
    </row>
    <row r="466" spans="1:8" ht="24" x14ac:dyDescent="0.2">
      <c r="A466" s="47"/>
      <c r="B466" s="47"/>
      <c r="C466" s="11" t="s">
        <v>214</v>
      </c>
      <c r="D466" s="33" t="s">
        <v>574</v>
      </c>
      <c r="E466" s="10">
        <f>E467</f>
        <v>0</v>
      </c>
      <c r="F466" s="10">
        <f>F467</f>
        <v>0</v>
      </c>
      <c r="G466" s="10" t="s">
        <v>1158</v>
      </c>
      <c r="H466" s="10">
        <f>H467</f>
        <v>0</v>
      </c>
    </row>
    <row r="467" spans="1:8" ht="36" x14ac:dyDescent="0.2">
      <c r="A467" s="47"/>
      <c r="B467" s="47"/>
      <c r="C467" s="14" t="s">
        <v>120</v>
      </c>
      <c r="D467" s="33" t="s">
        <v>575</v>
      </c>
      <c r="E467" s="10">
        <f>0</f>
        <v>0</v>
      </c>
      <c r="F467" s="10">
        <f>0</f>
        <v>0</v>
      </c>
      <c r="G467" s="10" t="s">
        <v>1158</v>
      </c>
      <c r="H467" s="10">
        <f>0</f>
        <v>0</v>
      </c>
    </row>
    <row r="468" spans="1:8" ht="24" x14ac:dyDescent="0.2">
      <c r="A468" s="47"/>
      <c r="B468" s="47"/>
      <c r="C468" s="11" t="s">
        <v>258</v>
      </c>
      <c r="D468" s="33" t="s">
        <v>576</v>
      </c>
      <c r="E468" s="10">
        <f>E469+E470</f>
        <v>0</v>
      </c>
      <c r="F468" s="10">
        <f>F469+F470</f>
        <v>0</v>
      </c>
      <c r="G468" s="10" t="s">
        <v>1158</v>
      </c>
      <c r="H468" s="10">
        <f>H469+H470</f>
        <v>0</v>
      </c>
    </row>
    <row r="469" spans="1:8" ht="24" x14ac:dyDescent="0.2">
      <c r="A469" s="47"/>
      <c r="B469" s="47"/>
      <c r="C469" s="14" t="s">
        <v>260</v>
      </c>
      <c r="D469" s="33" t="s">
        <v>577</v>
      </c>
      <c r="E469" s="10">
        <f>0</f>
        <v>0</v>
      </c>
      <c r="F469" s="10">
        <f>0</f>
        <v>0</v>
      </c>
      <c r="G469" s="10" t="s">
        <v>1158</v>
      </c>
      <c r="H469" s="10">
        <f>0</f>
        <v>0</v>
      </c>
    </row>
    <row r="470" spans="1:8" ht="24" x14ac:dyDescent="0.2">
      <c r="A470" s="47"/>
      <c r="B470" s="47"/>
      <c r="C470" s="14" t="s">
        <v>262</v>
      </c>
      <c r="D470" s="33" t="s">
        <v>578</v>
      </c>
      <c r="E470" s="10">
        <f>0</f>
        <v>0</v>
      </c>
      <c r="F470" s="10">
        <f>0</f>
        <v>0</v>
      </c>
      <c r="G470" s="10" t="s">
        <v>1158</v>
      </c>
      <c r="H470" s="10">
        <f>0</f>
        <v>0</v>
      </c>
    </row>
    <row r="471" spans="1:8" ht="24" x14ac:dyDescent="0.2">
      <c r="A471" s="47"/>
      <c r="B471" s="47"/>
      <c r="C471" s="11" t="s">
        <v>579</v>
      </c>
      <c r="D471" s="33" t="s">
        <v>580</v>
      </c>
      <c r="E471" s="10">
        <f>E472</f>
        <v>0</v>
      </c>
      <c r="F471" s="10">
        <f>F472</f>
        <v>0</v>
      </c>
      <c r="G471" s="10" t="s">
        <v>1158</v>
      </c>
      <c r="H471" s="10">
        <f>H472</f>
        <v>0</v>
      </c>
    </row>
    <row r="472" spans="1:8" ht="24" x14ac:dyDescent="0.2">
      <c r="A472" s="47"/>
      <c r="B472" s="47"/>
      <c r="C472" s="14" t="s">
        <v>581</v>
      </c>
      <c r="D472" s="33" t="s">
        <v>582</v>
      </c>
      <c r="E472" s="10">
        <f>0</f>
        <v>0</v>
      </c>
      <c r="F472" s="10">
        <f>0</f>
        <v>0</v>
      </c>
      <c r="G472" s="10" t="s">
        <v>1158</v>
      </c>
      <c r="H472" s="10">
        <f>0</f>
        <v>0</v>
      </c>
    </row>
    <row r="473" spans="1:8" ht="36" x14ac:dyDescent="0.2">
      <c r="A473" s="47"/>
      <c r="B473" s="47"/>
      <c r="C473" s="11" t="s">
        <v>851</v>
      </c>
      <c r="D473" s="40" t="s">
        <v>1165</v>
      </c>
      <c r="E473" s="10">
        <f>236000</f>
        <v>236000</v>
      </c>
      <c r="F473" s="10">
        <f>0</f>
        <v>0</v>
      </c>
      <c r="G473" s="10" t="s">
        <v>165</v>
      </c>
      <c r="H473" s="10">
        <f>0</f>
        <v>0</v>
      </c>
    </row>
    <row r="474" spans="1:8" ht="24" x14ac:dyDescent="0.2">
      <c r="A474" s="47"/>
      <c r="B474" s="47"/>
      <c r="C474" s="59" t="s">
        <v>13</v>
      </c>
      <c r="D474" s="68"/>
      <c r="E474" s="43">
        <f>E442+E445+E450+E453</f>
        <v>287614.18</v>
      </c>
      <c r="F474" s="21">
        <f>F442+F445+F450+F453</f>
        <v>15892.25</v>
      </c>
      <c r="G474" s="75" t="s">
        <v>1164</v>
      </c>
      <c r="H474" s="21">
        <f>H442+H445+H450+H453</f>
        <v>15892.25</v>
      </c>
    </row>
    <row r="475" spans="1:8" s="19" customFormat="1" ht="36" x14ac:dyDescent="0.2">
      <c r="A475" s="47">
        <v>7</v>
      </c>
      <c r="B475" s="48" t="s">
        <v>159</v>
      </c>
      <c r="C475" s="13" t="s">
        <v>9</v>
      </c>
      <c r="D475" s="32" t="s">
        <v>583</v>
      </c>
      <c r="E475" s="17">
        <f>E476</f>
        <v>10427.299999999999</v>
      </c>
      <c r="F475" s="29">
        <f>F476</f>
        <v>4711.1499999999996</v>
      </c>
      <c r="G475" s="17" t="s">
        <v>1166</v>
      </c>
      <c r="H475" s="17">
        <f>H476</f>
        <v>4711.1499999999996</v>
      </c>
    </row>
    <row r="476" spans="1:8" ht="36" x14ac:dyDescent="0.2">
      <c r="A476" s="47"/>
      <c r="B476" s="48"/>
      <c r="C476" s="11" t="s">
        <v>178</v>
      </c>
      <c r="D476" s="33" t="s">
        <v>584</v>
      </c>
      <c r="E476" s="10">
        <f>E477+E478+E479</f>
        <v>10427.299999999999</v>
      </c>
      <c r="F476" s="42">
        <f>F477+F478+F479</f>
        <v>4711.1499999999996</v>
      </c>
      <c r="G476" s="10" t="s">
        <v>1166</v>
      </c>
      <c r="H476" s="10">
        <f>H477+H478+H479</f>
        <v>4711.1499999999996</v>
      </c>
    </row>
    <row r="477" spans="1:8" ht="36" x14ac:dyDescent="0.2">
      <c r="A477" s="47"/>
      <c r="B477" s="48"/>
      <c r="C477" s="14" t="s">
        <v>14</v>
      </c>
      <c r="D477" s="33" t="s">
        <v>585</v>
      </c>
      <c r="E477" s="10">
        <f>10427.3</f>
        <v>10427.299999999999</v>
      </c>
      <c r="F477" s="42">
        <v>4711.1499999999996</v>
      </c>
      <c r="G477" s="10" t="s">
        <v>1166</v>
      </c>
      <c r="H477" s="10">
        <v>4711.1499999999996</v>
      </c>
    </row>
    <row r="478" spans="1:8" ht="24" x14ac:dyDescent="0.2">
      <c r="A478" s="47"/>
      <c r="B478" s="48"/>
      <c r="C478" s="14" t="s">
        <v>15</v>
      </c>
      <c r="D478" s="33" t="s">
        <v>586</v>
      </c>
      <c r="E478" s="10">
        <f>0</f>
        <v>0</v>
      </c>
      <c r="F478" s="10">
        <f>0</f>
        <v>0</v>
      </c>
      <c r="G478" s="10" t="s">
        <v>1158</v>
      </c>
      <c r="H478" s="10">
        <f>0</f>
        <v>0</v>
      </c>
    </row>
    <row r="479" spans="1:8" ht="48" x14ac:dyDescent="0.2">
      <c r="A479" s="47"/>
      <c r="B479" s="48"/>
      <c r="C479" s="14" t="s">
        <v>17</v>
      </c>
      <c r="D479" s="33" t="s">
        <v>587</v>
      </c>
      <c r="E479" s="10">
        <f>0</f>
        <v>0</v>
      </c>
      <c r="F479" s="10">
        <f>0</f>
        <v>0</v>
      </c>
      <c r="G479" s="10" t="s">
        <v>1158</v>
      </c>
      <c r="H479" s="10">
        <f>0</f>
        <v>0</v>
      </c>
    </row>
    <row r="480" spans="1:8" s="19" customFormat="1" ht="36" x14ac:dyDescent="0.2">
      <c r="A480" s="47"/>
      <c r="B480" s="48"/>
      <c r="C480" s="13" t="s">
        <v>10</v>
      </c>
      <c r="D480" s="32" t="s">
        <v>588</v>
      </c>
      <c r="E480" s="17">
        <f>E481</f>
        <v>30527.5</v>
      </c>
      <c r="F480" s="17">
        <f>F481</f>
        <v>13770.33</v>
      </c>
      <c r="G480" s="17" t="s">
        <v>1026</v>
      </c>
      <c r="H480" s="17">
        <f>H481</f>
        <v>13770.33</v>
      </c>
    </row>
    <row r="481" spans="1:8" ht="36" x14ac:dyDescent="0.2">
      <c r="A481" s="47"/>
      <c r="B481" s="48"/>
      <c r="C481" s="11" t="s">
        <v>178</v>
      </c>
      <c r="D481" s="33" t="s">
        <v>589</v>
      </c>
      <c r="E481" s="10">
        <f>E482+E483+E484</f>
        <v>30527.5</v>
      </c>
      <c r="F481" s="10">
        <f>F482+F483+F484</f>
        <v>13770.33</v>
      </c>
      <c r="G481" s="10" t="s">
        <v>1026</v>
      </c>
      <c r="H481" s="10">
        <f>H482+H483+H484</f>
        <v>13770.33</v>
      </c>
    </row>
    <row r="482" spans="1:8" ht="36" x14ac:dyDescent="0.2">
      <c r="A482" s="47"/>
      <c r="B482" s="48"/>
      <c r="C482" s="14" t="s">
        <v>14</v>
      </c>
      <c r="D482" s="33" t="s">
        <v>590</v>
      </c>
      <c r="E482" s="10">
        <f>30144.7</f>
        <v>30144.7</v>
      </c>
      <c r="F482" s="10">
        <f>13770.33</f>
        <v>13770.33</v>
      </c>
      <c r="G482" s="10" t="s">
        <v>1027</v>
      </c>
      <c r="H482" s="10">
        <f>13770.33</f>
        <v>13770.33</v>
      </c>
    </row>
    <row r="483" spans="1:8" ht="36" x14ac:dyDescent="0.2">
      <c r="A483" s="47"/>
      <c r="B483" s="48"/>
      <c r="C483" s="14" t="s">
        <v>15</v>
      </c>
      <c r="D483" s="33" t="s">
        <v>591</v>
      </c>
      <c r="E483" s="10">
        <f>312.2</f>
        <v>312.2</v>
      </c>
      <c r="F483" s="10">
        <f>0</f>
        <v>0</v>
      </c>
      <c r="G483" s="10" t="s">
        <v>165</v>
      </c>
      <c r="H483" s="10">
        <f>0</f>
        <v>0</v>
      </c>
    </row>
    <row r="484" spans="1:8" ht="36" x14ac:dyDescent="0.2">
      <c r="A484" s="47"/>
      <c r="B484" s="48"/>
      <c r="C484" s="14" t="s">
        <v>17</v>
      </c>
      <c r="D484" s="33" t="s">
        <v>592</v>
      </c>
      <c r="E484" s="10">
        <f>70.6</f>
        <v>70.599999999999994</v>
      </c>
      <c r="F484" s="10">
        <f>0</f>
        <v>0</v>
      </c>
      <c r="G484" s="10" t="s">
        <v>165</v>
      </c>
      <c r="H484" s="10">
        <f>0</f>
        <v>0</v>
      </c>
    </row>
    <row r="485" spans="1:8" s="19" customFormat="1" ht="48" x14ac:dyDescent="0.2">
      <c r="A485" s="47"/>
      <c r="B485" s="48"/>
      <c r="C485" s="13" t="s">
        <v>11</v>
      </c>
      <c r="D485" s="32" t="s">
        <v>593</v>
      </c>
      <c r="E485" s="17">
        <f>E486</f>
        <v>76484.72</v>
      </c>
      <c r="F485" s="29">
        <f>F486</f>
        <v>29641.230000000003</v>
      </c>
      <c r="G485" s="17" t="s">
        <v>1028</v>
      </c>
      <c r="H485" s="17">
        <f>H486</f>
        <v>29641.230000000003</v>
      </c>
    </row>
    <row r="486" spans="1:8" ht="48" x14ac:dyDescent="0.2">
      <c r="A486" s="47"/>
      <c r="B486" s="48"/>
      <c r="C486" s="11" t="s">
        <v>178</v>
      </c>
      <c r="D486" s="33" t="s">
        <v>594</v>
      </c>
      <c r="E486" s="10">
        <f>E487+E488+E489+E490+E491</f>
        <v>76484.72</v>
      </c>
      <c r="F486" s="10">
        <f>F487+F488+F489+F490+F491</f>
        <v>29641.230000000003</v>
      </c>
      <c r="G486" s="10" t="s">
        <v>1028</v>
      </c>
      <c r="H486" s="10">
        <f>H487+H488+H489+H490+H491</f>
        <v>29641.230000000003</v>
      </c>
    </row>
    <row r="487" spans="1:8" ht="48" x14ac:dyDescent="0.2">
      <c r="A487" s="47"/>
      <c r="B487" s="48"/>
      <c r="C487" s="14" t="s">
        <v>14</v>
      </c>
      <c r="D487" s="33" t="s">
        <v>595</v>
      </c>
      <c r="E487" s="10">
        <f>41502</f>
        <v>41502</v>
      </c>
      <c r="F487" s="10">
        <f>18785.15</f>
        <v>18785.150000000001</v>
      </c>
      <c r="G487" s="10" t="s">
        <v>1029</v>
      </c>
      <c r="H487" s="10">
        <f>18785.15</f>
        <v>18785.150000000001</v>
      </c>
    </row>
    <row r="488" spans="1:8" ht="36" x14ac:dyDescent="0.2">
      <c r="A488" s="47"/>
      <c r="B488" s="48"/>
      <c r="C488" s="14" t="s">
        <v>15</v>
      </c>
      <c r="D488" s="33" t="s">
        <v>596</v>
      </c>
      <c r="E488" s="10">
        <f>34982.72</f>
        <v>34982.720000000001</v>
      </c>
      <c r="F488" s="10">
        <v>10856.08</v>
      </c>
      <c r="G488" s="10" t="s">
        <v>1030</v>
      </c>
      <c r="H488" s="10">
        <v>10856.08</v>
      </c>
    </row>
    <row r="489" spans="1:8" ht="36" x14ac:dyDescent="0.2">
      <c r="A489" s="47"/>
      <c r="B489" s="48"/>
      <c r="C489" s="14" t="s">
        <v>17</v>
      </c>
      <c r="D489" s="33" t="s">
        <v>597</v>
      </c>
      <c r="E489" s="10">
        <f>0</f>
        <v>0</v>
      </c>
      <c r="F489" s="10">
        <f>0</f>
        <v>0</v>
      </c>
      <c r="G489" s="10" t="s">
        <v>1158</v>
      </c>
      <c r="H489" s="10">
        <f>0</f>
        <v>0</v>
      </c>
    </row>
    <row r="490" spans="1:8" ht="24" x14ac:dyDescent="0.2">
      <c r="A490" s="47"/>
      <c r="B490" s="48"/>
      <c r="C490" s="14" t="s">
        <v>19</v>
      </c>
      <c r="D490" s="33" t="s">
        <v>598</v>
      </c>
      <c r="E490" s="10">
        <f>0</f>
        <v>0</v>
      </c>
      <c r="F490" s="10">
        <f>0</f>
        <v>0</v>
      </c>
      <c r="G490" s="10" t="s">
        <v>1158</v>
      </c>
      <c r="H490" s="10">
        <f>0</f>
        <v>0</v>
      </c>
    </row>
    <row r="491" spans="1:8" ht="24" x14ac:dyDescent="0.2">
      <c r="A491" s="47"/>
      <c r="B491" s="48"/>
      <c r="C491" s="14" t="s">
        <v>21</v>
      </c>
      <c r="D491" s="33" t="s">
        <v>599</v>
      </c>
      <c r="E491" s="10">
        <f>0</f>
        <v>0</v>
      </c>
      <c r="F491" s="10">
        <f>0</f>
        <v>0</v>
      </c>
      <c r="G491" s="10" t="s">
        <v>1158</v>
      </c>
      <c r="H491" s="10">
        <f>0</f>
        <v>0</v>
      </c>
    </row>
    <row r="492" spans="1:8" s="19" customFormat="1" ht="24" x14ac:dyDescent="0.2">
      <c r="A492" s="47"/>
      <c r="B492" s="48"/>
      <c r="C492" s="13" t="s">
        <v>12</v>
      </c>
      <c r="D492" s="32" t="s">
        <v>600</v>
      </c>
      <c r="E492" s="17">
        <f>E493</f>
        <v>0</v>
      </c>
      <c r="F492" s="17">
        <f>F493</f>
        <v>0</v>
      </c>
      <c r="G492" s="17" t="s">
        <v>1158</v>
      </c>
      <c r="H492" s="17">
        <f>H493</f>
        <v>0</v>
      </c>
    </row>
    <row r="493" spans="1:8" ht="48" x14ac:dyDescent="0.2">
      <c r="A493" s="47"/>
      <c r="B493" s="48"/>
      <c r="C493" s="11" t="s">
        <v>178</v>
      </c>
      <c r="D493" s="33" t="s">
        <v>601</v>
      </c>
      <c r="E493" s="10">
        <f>E494+E495+E496</f>
        <v>0</v>
      </c>
      <c r="F493" s="10">
        <f>F494+F495+F496</f>
        <v>0</v>
      </c>
      <c r="G493" s="10" t="s">
        <v>1158</v>
      </c>
      <c r="H493" s="10">
        <f>H494+H495+H496</f>
        <v>0</v>
      </c>
    </row>
    <row r="494" spans="1:8" ht="24" x14ac:dyDescent="0.2">
      <c r="A494" s="47"/>
      <c r="B494" s="48"/>
      <c r="C494" s="14" t="s">
        <v>14</v>
      </c>
      <c r="D494" s="33" t="s">
        <v>602</v>
      </c>
      <c r="E494" s="10">
        <f>0</f>
        <v>0</v>
      </c>
      <c r="F494" s="10">
        <f>0</f>
        <v>0</v>
      </c>
      <c r="G494" s="10" t="s">
        <v>1158</v>
      </c>
      <c r="H494" s="10">
        <f>0</f>
        <v>0</v>
      </c>
    </row>
    <row r="495" spans="1:8" ht="24" x14ac:dyDescent="0.2">
      <c r="A495" s="47"/>
      <c r="B495" s="48"/>
      <c r="C495" s="14" t="s">
        <v>15</v>
      </c>
      <c r="D495" s="33" t="s">
        <v>603</v>
      </c>
      <c r="E495" s="10">
        <f>0</f>
        <v>0</v>
      </c>
      <c r="F495" s="10">
        <f>0</f>
        <v>0</v>
      </c>
      <c r="G495" s="10" t="s">
        <v>1158</v>
      </c>
      <c r="H495" s="10">
        <f>0</f>
        <v>0</v>
      </c>
    </row>
    <row r="496" spans="1:8" ht="36" x14ac:dyDescent="0.2">
      <c r="A496" s="47"/>
      <c r="B496" s="48"/>
      <c r="C496" s="14" t="s">
        <v>17</v>
      </c>
      <c r="D496" s="33" t="s">
        <v>604</v>
      </c>
      <c r="E496" s="10">
        <f>0</f>
        <v>0</v>
      </c>
      <c r="F496" s="10">
        <f>0</f>
        <v>0</v>
      </c>
      <c r="G496" s="10" t="s">
        <v>1158</v>
      </c>
      <c r="H496" s="10">
        <f>0</f>
        <v>0</v>
      </c>
    </row>
    <row r="497" spans="1:8" s="19" customFormat="1" ht="36" x14ac:dyDescent="0.2">
      <c r="A497" s="47"/>
      <c r="B497" s="48"/>
      <c r="C497" s="13" t="s">
        <v>124</v>
      </c>
      <c r="D497" s="32" t="s">
        <v>605</v>
      </c>
      <c r="E497" s="17">
        <f>E498+E503</f>
        <v>227753.91999999998</v>
      </c>
      <c r="F497" s="29">
        <f>F498+F503</f>
        <v>15558.660000000002</v>
      </c>
      <c r="G497" s="17" t="s">
        <v>1012</v>
      </c>
      <c r="H497" s="17">
        <f>H498+H503</f>
        <v>15558.660000000002</v>
      </c>
    </row>
    <row r="498" spans="1:8" ht="36" x14ac:dyDescent="0.2">
      <c r="A498" s="47"/>
      <c r="B498" s="48"/>
      <c r="C498" s="11" t="s">
        <v>178</v>
      </c>
      <c r="D498" s="33" t="s">
        <v>606</v>
      </c>
      <c r="E498" s="10">
        <f>E499+E500+E501+E502</f>
        <v>226676.91999999998</v>
      </c>
      <c r="F498" s="10">
        <f>F499+F500+F501+F502</f>
        <v>15317.240000000002</v>
      </c>
      <c r="G498" s="10" t="s">
        <v>1012</v>
      </c>
      <c r="H498" s="10">
        <f>H499+H500+H501+H502</f>
        <v>15317.240000000002</v>
      </c>
    </row>
    <row r="499" spans="1:8" ht="48" x14ac:dyDescent="0.2">
      <c r="A499" s="47"/>
      <c r="B499" s="48"/>
      <c r="C499" s="14" t="s">
        <v>14</v>
      </c>
      <c r="D499" s="33" t="s">
        <v>607</v>
      </c>
      <c r="E499" s="10">
        <f>191970+34706.92</f>
        <v>226676.91999999998</v>
      </c>
      <c r="F499" s="10">
        <f>3487.29+11829.95</f>
        <v>15317.240000000002</v>
      </c>
      <c r="G499" s="10" t="s">
        <v>1012</v>
      </c>
      <c r="H499" s="10">
        <f>3487.29+11829.95</f>
        <v>15317.240000000002</v>
      </c>
    </row>
    <row r="500" spans="1:8" ht="60" x14ac:dyDescent="0.2">
      <c r="A500" s="47"/>
      <c r="B500" s="48"/>
      <c r="C500" s="14" t="s">
        <v>15</v>
      </c>
      <c r="D500" s="33" t="s">
        <v>608</v>
      </c>
      <c r="E500" s="10">
        <f>0</f>
        <v>0</v>
      </c>
      <c r="F500" s="10">
        <f>0</f>
        <v>0</v>
      </c>
      <c r="G500" s="10" t="s">
        <v>1158</v>
      </c>
      <c r="H500" s="10">
        <f>0</f>
        <v>0</v>
      </c>
    </row>
    <row r="501" spans="1:8" ht="48" x14ac:dyDescent="0.2">
      <c r="A501" s="47"/>
      <c r="B501" s="48"/>
      <c r="C501" s="14" t="s">
        <v>17</v>
      </c>
      <c r="D501" s="33" t="s">
        <v>609</v>
      </c>
      <c r="E501" s="10">
        <f>0</f>
        <v>0</v>
      </c>
      <c r="F501" s="10">
        <f>0</f>
        <v>0</v>
      </c>
      <c r="G501" s="10" t="s">
        <v>1158</v>
      </c>
      <c r="H501" s="10">
        <f>0</f>
        <v>0</v>
      </c>
    </row>
    <row r="502" spans="1:8" ht="36" x14ac:dyDescent="0.2">
      <c r="A502" s="47"/>
      <c r="B502" s="48"/>
      <c r="C502" s="14" t="s">
        <v>19</v>
      </c>
      <c r="D502" s="33" t="s">
        <v>610</v>
      </c>
      <c r="E502" s="10">
        <f>0</f>
        <v>0</v>
      </c>
      <c r="F502" s="10">
        <f>0</f>
        <v>0</v>
      </c>
      <c r="G502" s="10" t="s">
        <v>1158</v>
      </c>
      <c r="H502" s="10">
        <f>0</f>
        <v>0</v>
      </c>
    </row>
    <row r="503" spans="1:8" ht="48" x14ac:dyDescent="0.2">
      <c r="A503" s="47"/>
      <c r="B503" s="48"/>
      <c r="C503" s="11" t="s">
        <v>187</v>
      </c>
      <c r="D503" s="33" t="s">
        <v>611</v>
      </c>
      <c r="E503" s="10">
        <f>E504</f>
        <v>1077</v>
      </c>
      <c r="F503" s="10">
        <f>F504</f>
        <v>241.42</v>
      </c>
      <c r="G503" s="10" t="s">
        <v>1031</v>
      </c>
      <c r="H503" s="10">
        <f>H504</f>
        <v>241.42</v>
      </c>
    </row>
    <row r="504" spans="1:8" ht="48" x14ac:dyDescent="0.2">
      <c r="A504" s="47"/>
      <c r="B504" s="48"/>
      <c r="C504" s="14" t="s">
        <v>98</v>
      </c>
      <c r="D504" s="33" t="s">
        <v>612</v>
      </c>
      <c r="E504" s="10">
        <f>400+677</f>
        <v>1077</v>
      </c>
      <c r="F504" s="10">
        <f>241.42</f>
        <v>241.42</v>
      </c>
      <c r="G504" s="10" t="s">
        <v>1031</v>
      </c>
      <c r="H504" s="10">
        <f>241.42</f>
        <v>241.42</v>
      </c>
    </row>
    <row r="505" spans="1:8" s="19" customFormat="1" ht="24" x14ac:dyDescent="0.2">
      <c r="A505" s="47"/>
      <c r="B505" s="48"/>
      <c r="C505" s="13" t="s">
        <v>130</v>
      </c>
      <c r="D505" s="32" t="s">
        <v>613</v>
      </c>
      <c r="E505" s="17">
        <f>E506+E508</f>
        <v>0</v>
      </c>
      <c r="F505" s="17">
        <f>F506+F508</f>
        <v>0</v>
      </c>
      <c r="G505" s="17" t="s">
        <v>1158</v>
      </c>
      <c r="H505" s="17">
        <f>H506+H508</f>
        <v>0</v>
      </c>
    </row>
    <row r="506" spans="1:8" ht="36" x14ac:dyDescent="0.2">
      <c r="A506" s="47"/>
      <c r="B506" s="48"/>
      <c r="C506" s="11" t="s">
        <v>178</v>
      </c>
      <c r="D506" s="33" t="s">
        <v>614</v>
      </c>
      <c r="E506" s="10">
        <f>E507</f>
        <v>0</v>
      </c>
      <c r="F506" s="10">
        <f>F507</f>
        <v>0</v>
      </c>
      <c r="G506" s="10" t="s">
        <v>1158</v>
      </c>
      <c r="H506" s="10">
        <f>H507</f>
        <v>0</v>
      </c>
    </row>
    <row r="507" spans="1:8" ht="36" x14ac:dyDescent="0.2">
      <c r="A507" s="47"/>
      <c r="B507" s="48"/>
      <c r="C507" s="14" t="s">
        <v>14</v>
      </c>
      <c r="D507" s="33" t="s">
        <v>614</v>
      </c>
      <c r="E507" s="10">
        <f>0</f>
        <v>0</v>
      </c>
      <c r="F507" s="10">
        <f>0</f>
        <v>0</v>
      </c>
      <c r="G507" s="10" t="s">
        <v>1158</v>
      </c>
      <c r="H507" s="10">
        <f>0</f>
        <v>0</v>
      </c>
    </row>
    <row r="508" spans="1:8" ht="24" x14ac:dyDescent="0.2">
      <c r="A508" s="47"/>
      <c r="B508" s="48"/>
      <c r="C508" s="11" t="s">
        <v>187</v>
      </c>
      <c r="D508" s="33" t="s">
        <v>615</v>
      </c>
      <c r="E508" s="10">
        <f>E509</f>
        <v>0</v>
      </c>
      <c r="F508" s="10">
        <f>F509</f>
        <v>0</v>
      </c>
      <c r="G508" s="10" t="s">
        <v>1158</v>
      </c>
      <c r="H508" s="10">
        <f>H509</f>
        <v>0</v>
      </c>
    </row>
    <row r="509" spans="1:8" ht="24" x14ac:dyDescent="0.2">
      <c r="A509" s="47"/>
      <c r="B509" s="48"/>
      <c r="C509" s="14" t="s">
        <v>98</v>
      </c>
      <c r="D509" s="33" t="s">
        <v>616</v>
      </c>
      <c r="E509" s="10">
        <f>0</f>
        <v>0</v>
      </c>
      <c r="F509" s="10">
        <f>0</f>
        <v>0</v>
      </c>
      <c r="G509" s="10" t="s">
        <v>1158</v>
      </c>
      <c r="H509" s="10">
        <f>0</f>
        <v>0</v>
      </c>
    </row>
    <row r="510" spans="1:8" s="19" customFormat="1" ht="84" x14ac:dyDescent="0.2">
      <c r="A510" s="47"/>
      <c r="B510" s="48"/>
      <c r="C510" s="13" t="s">
        <v>139</v>
      </c>
      <c r="D510" s="32" t="s">
        <v>617</v>
      </c>
      <c r="E510" s="17">
        <f>E511</f>
        <v>0</v>
      </c>
      <c r="F510" s="17">
        <f>F511</f>
        <v>0</v>
      </c>
      <c r="G510" s="17" t="s">
        <v>1168</v>
      </c>
      <c r="H510" s="17">
        <f>H511</f>
        <v>0</v>
      </c>
    </row>
    <row r="511" spans="1:8" ht="72" x14ac:dyDescent="0.2">
      <c r="A511" s="47"/>
      <c r="B511" s="48"/>
      <c r="C511" s="11" t="s">
        <v>178</v>
      </c>
      <c r="D511" s="33" t="s">
        <v>618</v>
      </c>
      <c r="E511" s="10">
        <f>E512</f>
        <v>0</v>
      </c>
      <c r="F511" s="10">
        <f>F512</f>
        <v>0</v>
      </c>
      <c r="G511" s="10" t="s">
        <v>1158</v>
      </c>
      <c r="H511" s="10">
        <f>H512</f>
        <v>0</v>
      </c>
    </row>
    <row r="512" spans="1:8" ht="72" x14ac:dyDescent="0.2">
      <c r="A512" s="47"/>
      <c r="B512" s="48"/>
      <c r="C512" s="14" t="s">
        <v>14</v>
      </c>
      <c r="D512" s="33" t="s">
        <v>618</v>
      </c>
      <c r="E512" s="10">
        <f>0</f>
        <v>0</v>
      </c>
      <c r="F512" s="10">
        <f>0</f>
        <v>0</v>
      </c>
      <c r="G512" s="10" t="s">
        <v>1158</v>
      </c>
      <c r="H512" s="10">
        <f>0</f>
        <v>0</v>
      </c>
    </row>
    <row r="513" spans="1:8" s="19" customFormat="1" ht="36" x14ac:dyDescent="0.2">
      <c r="A513" s="47"/>
      <c r="B513" s="48"/>
      <c r="C513" s="13" t="s">
        <v>619</v>
      </c>
      <c r="D513" s="32" t="s">
        <v>620</v>
      </c>
      <c r="E513" s="17">
        <f>E514+E518+E520</f>
        <v>5412.36</v>
      </c>
      <c r="F513" s="17">
        <f>F514+F518+F520</f>
        <v>2689.13</v>
      </c>
      <c r="G513" s="17" t="s">
        <v>1032</v>
      </c>
      <c r="H513" s="17">
        <f>H514+H518+H520</f>
        <v>2689.13</v>
      </c>
    </row>
    <row r="514" spans="1:8" ht="36" x14ac:dyDescent="0.2">
      <c r="A514" s="47"/>
      <c r="B514" s="48"/>
      <c r="C514" s="11" t="s">
        <v>178</v>
      </c>
      <c r="D514" s="33" t="s">
        <v>621</v>
      </c>
      <c r="E514" s="10">
        <f>E515+E516+E517</f>
        <v>5171.96</v>
      </c>
      <c r="F514" s="10">
        <f>F515+F516+F517</f>
        <v>2689.13</v>
      </c>
      <c r="G514" s="10" t="s">
        <v>1033</v>
      </c>
      <c r="H514" s="10">
        <f>H515+H516+H517</f>
        <v>2689.13</v>
      </c>
    </row>
    <row r="515" spans="1:8" ht="60" x14ac:dyDescent="0.2">
      <c r="A515" s="47"/>
      <c r="B515" s="48"/>
      <c r="C515" s="14" t="s">
        <v>14</v>
      </c>
      <c r="D515" s="33" t="s">
        <v>622</v>
      </c>
      <c r="E515" s="10">
        <f>5171.96</f>
        <v>5171.96</v>
      </c>
      <c r="F515" s="10">
        <v>2689.13</v>
      </c>
      <c r="G515" s="10" t="s">
        <v>1034</v>
      </c>
      <c r="H515" s="10">
        <v>2689.13</v>
      </c>
    </row>
    <row r="516" spans="1:8" ht="48" x14ac:dyDescent="0.2">
      <c r="A516" s="47"/>
      <c r="B516" s="48"/>
      <c r="C516" s="14" t="s">
        <v>15</v>
      </c>
      <c r="D516" s="33" t="s">
        <v>623</v>
      </c>
      <c r="E516" s="10">
        <f>0</f>
        <v>0</v>
      </c>
      <c r="F516" s="10">
        <f>0</f>
        <v>0</v>
      </c>
      <c r="G516" s="10" t="s">
        <v>1158</v>
      </c>
      <c r="H516" s="10">
        <f>0</f>
        <v>0</v>
      </c>
    </row>
    <row r="517" spans="1:8" ht="108" x14ac:dyDescent="0.2">
      <c r="A517" s="47"/>
      <c r="B517" s="48"/>
      <c r="C517" s="14" t="s">
        <v>17</v>
      </c>
      <c r="D517" s="33" t="s">
        <v>624</v>
      </c>
      <c r="E517" s="10">
        <f>0</f>
        <v>0</v>
      </c>
      <c r="F517" s="10">
        <f>0</f>
        <v>0</v>
      </c>
      <c r="G517" s="10" t="s">
        <v>1158</v>
      </c>
      <c r="H517" s="10">
        <f>0</f>
        <v>0</v>
      </c>
    </row>
    <row r="518" spans="1:8" ht="27" customHeight="1" x14ac:dyDescent="0.2">
      <c r="A518" s="47"/>
      <c r="B518" s="48"/>
      <c r="C518" s="11" t="s">
        <v>187</v>
      </c>
      <c r="D518" s="33" t="s">
        <v>625</v>
      </c>
      <c r="E518" s="10">
        <f>E519</f>
        <v>0</v>
      </c>
      <c r="F518" s="10">
        <f>F519</f>
        <v>0</v>
      </c>
      <c r="G518" s="10" t="s">
        <v>1158</v>
      </c>
      <c r="H518" s="10">
        <f>H519</f>
        <v>0</v>
      </c>
    </row>
    <row r="519" spans="1:8" ht="36" x14ac:dyDescent="0.2">
      <c r="A519" s="47"/>
      <c r="B519" s="48"/>
      <c r="C519" s="14" t="s">
        <v>98</v>
      </c>
      <c r="D519" s="33" t="s">
        <v>626</v>
      </c>
      <c r="E519" s="10">
        <f>0</f>
        <v>0</v>
      </c>
      <c r="F519" s="10">
        <f>0</f>
        <v>0</v>
      </c>
      <c r="G519" s="10" t="s">
        <v>1158</v>
      </c>
      <c r="H519" s="10">
        <f>0</f>
        <v>0</v>
      </c>
    </row>
    <row r="520" spans="1:8" ht="36" x14ac:dyDescent="0.2">
      <c r="A520" s="47"/>
      <c r="B520" s="48"/>
      <c r="C520" s="11" t="s">
        <v>202</v>
      </c>
      <c r="D520" s="33" t="s">
        <v>627</v>
      </c>
      <c r="E520" s="10">
        <f>E521</f>
        <v>240.4</v>
      </c>
      <c r="F520" s="10">
        <f>F521</f>
        <v>0</v>
      </c>
      <c r="G520" s="10" t="s">
        <v>165</v>
      </c>
      <c r="H520" s="10">
        <f>H521</f>
        <v>0</v>
      </c>
    </row>
    <row r="521" spans="1:8" ht="36" x14ac:dyDescent="0.2">
      <c r="A521" s="47"/>
      <c r="B521" s="48"/>
      <c r="C521" s="14" t="s">
        <v>104</v>
      </c>
      <c r="D521" s="33" t="s">
        <v>627</v>
      </c>
      <c r="E521" s="10">
        <f>240.4</f>
        <v>240.4</v>
      </c>
      <c r="F521" s="10">
        <f>0</f>
        <v>0</v>
      </c>
      <c r="G521" s="10" t="s">
        <v>165</v>
      </c>
      <c r="H521" s="10">
        <f>0</f>
        <v>0</v>
      </c>
    </row>
    <row r="522" spans="1:8" s="19" customFormat="1" ht="36" x14ac:dyDescent="0.2">
      <c r="A522" s="47"/>
      <c r="B522" s="48"/>
      <c r="C522" s="13" t="s">
        <v>628</v>
      </c>
      <c r="D522" s="32" t="s">
        <v>629</v>
      </c>
      <c r="E522" s="17">
        <f>E523+E524</f>
        <v>2464</v>
      </c>
      <c r="F522" s="17">
        <f>F523+F524</f>
        <v>784.33</v>
      </c>
      <c r="G522" s="17" t="s">
        <v>1035</v>
      </c>
      <c r="H522" s="17">
        <f>H523+H524</f>
        <v>784.33</v>
      </c>
    </row>
    <row r="523" spans="1:8" ht="48" x14ac:dyDescent="0.2">
      <c r="A523" s="47"/>
      <c r="B523" s="48"/>
      <c r="C523" s="11" t="s">
        <v>178</v>
      </c>
      <c r="D523" s="33" t="s">
        <v>630</v>
      </c>
      <c r="E523" s="10">
        <f>2392.5</f>
        <v>2392.5</v>
      </c>
      <c r="F523" s="10">
        <f>784.33</f>
        <v>784.33</v>
      </c>
      <c r="G523" s="10" t="s">
        <v>1036</v>
      </c>
      <c r="H523" s="10">
        <f>784.33</f>
        <v>784.33</v>
      </c>
    </row>
    <row r="524" spans="1:8" ht="36" x14ac:dyDescent="0.2">
      <c r="A524" s="47"/>
      <c r="B524" s="48"/>
      <c r="C524" s="11" t="s">
        <v>187</v>
      </c>
      <c r="D524" s="33" t="s">
        <v>631</v>
      </c>
      <c r="E524" s="10">
        <f>71.5</f>
        <v>71.5</v>
      </c>
      <c r="F524" s="10">
        <f>0</f>
        <v>0</v>
      </c>
      <c r="G524" s="10" t="s">
        <v>165</v>
      </c>
      <c r="H524" s="10">
        <f>0</f>
        <v>0</v>
      </c>
    </row>
    <row r="525" spans="1:8" ht="20.25" customHeight="1" x14ac:dyDescent="0.2">
      <c r="A525" s="47"/>
      <c r="B525" s="48"/>
      <c r="C525" s="54" t="s">
        <v>13</v>
      </c>
      <c r="D525" s="69"/>
      <c r="E525" s="21">
        <f>E475+E480+E485+E492+E497+E505+E510+E513+E522</f>
        <v>353069.8</v>
      </c>
      <c r="F525" s="21">
        <f>F475+F480+F492+F485+F497+F505+F510+F513+F522</f>
        <v>67154.830000000016</v>
      </c>
      <c r="G525" s="75" t="s">
        <v>1167</v>
      </c>
      <c r="H525" s="21">
        <f>H475+H480+H492+H485+H497+H505+H510+H513+H522</f>
        <v>67154.830000000016</v>
      </c>
    </row>
    <row r="526" spans="1:8" ht="36.75" customHeight="1" x14ac:dyDescent="0.2">
      <c r="A526" s="55">
        <v>8</v>
      </c>
      <c r="B526" s="49" t="s">
        <v>158</v>
      </c>
      <c r="C526" s="13" t="s">
        <v>9</v>
      </c>
      <c r="D526" s="32" t="s">
        <v>1173</v>
      </c>
      <c r="E526" s="17">
        <f>E527+E528+E529+E530</f>
        <v>3450</v>
      </c>
      <c r="F526" s="17">
        <f>F527+F528+F529+F530</f>
        <v>469.1</v>
      </c>
      <c r="G526" s="17" t="s">
        <v>1264</v>
      </c>
      <c r="H526" s="17">
        <f>H527+H528+H529+H530</f>
        <v>469.1</v>
      </c>
    </row>
    <row r="527" spans="1:8" ht="47.25" customHeight="1" x14ac:dyDescent="0.2">
      <c r="A527" s="56"/>
      <c r="B527" s="50"/>
      <c r="C527" s="11" t="s">
        <v>178</v>
      </c>
      <c r="D527" s="33" t="s">
        <v>1174</v>
      </c>
      <c r="E527" s="10">
        <f>810</f>
        <v>810</v>
      </c>
      <c r="F527" s="10">
        <f>9.1</f>
        <v>9.1</v>
      </c>
      <c r="G527" s="10" t="s">
        <v>1265</v>
      </c>
      <c r="H527" s="10">
        <f>9.1</f>
        <v>9.1</v>
      </c>
    </row>
    <row r="528" spans="1:8" ht="49.5" customHeight="1" x14ac:dyDescent="0.2">
      <c r="A528" s="56"/>
      <c r="B528" s="50"/>
      <c r="C528" s="11" t="s">
        <v>187</v>
      </c>
      <c r="D528" s="33" t="s">
        <v>1175</v>
      </c>
      <c r="E528" s="10">
        <f>1420</f>
        <v>1420</v>
      </c>
      <c r="F528" s="10">
        <f>460</f>
        <v>460</v>
      </c>
      <c r="G528" s="10" t="s">
        <v>1266</v>
      </c>
      <c r="H528" s="10">
        <f>460</f>
        <v>460</v>
      </c>
    </row>
    <row r="529" spans="1:8" ht="36" x14ac:dyDescent="0.2">
      <c r="A529" s="56"/>
      <c r="B529" s="50"/>
      <c r="C529" s="11" t="s">
        <v>202</v>
      </c>
      <c r="D529" s="33" t="s">
        <v>1176</v>
      </c>
      <c r="E529" s="10">
        <f>1220</f>
        <v>1220</v>
      </c>
      <c r="F529" s="10">
        <f>0</f>
        <v>0</v>
      </c>
      <c r="G529" s="10" t="s">
        <v>165</v>
      </c>
      <c r="H529" s="10">
        <f>0</f>
        <v>0</v>
      </c>
    </row>
    <row r="530" spans="1:8" ht="36" x14ac:dyDescent="0.2">
      <c r="A530" s="56"/>
      <c r="B530" s="50"/>
      <c r="C530" s="11" t="s">
        <v>214</v>
      </c>
      <c r="D530" s="33" t="s">
        <v>1177</v>
      </c>
      <c r="E530" s="10">
        <f>0</f>
        <v>0</v>
      </c>
      <c r="F530" s="10">
        <f>0</f>
        <v>0</v>
      </c>
      <c r="G530" s="10" t="s">
        <v>1158</v>
      </c>
      <c r="H530" s="10">
        <f>0</f>
        <v>0</v>
      </c>
    </row>
    <row r="531" spans="1:8" ht="36" x14ac:dyDescent="0.2">
      <c r="A531" s="56"/>
      <c r="B531" s="50"/>
      <c r="C531" s="13" t="s">
        <v>10</v>
      </c>
      <c r="D531" s="32" t="s">
        <v>1178</v>
      </c>
      <c r="E531" s="17">
        <f>E532+E533+E534</f>
        <v>129465.82</v>
      </c>
      <c r="F531" s="17">
        <f>F532+F533+F534</f>
        <v>50753.8</v>
      </c>
      <c r="G531" s="17" t="s">
        <v>1267</v>
      </c>
      <c r="H531" s="17">
        <f>H532+H533+H534</f>
        <v>50753.8</v>
      </c>
    </row>
    <row r="532" spans="1:8" ht="16.5" customHeight="1" x14ac:dyDescent="0.2">
      <c r="A532" s="56"/>
      <c r="B532" s="50"/>
      <c r="C532" s="11" t="s">
        <v>178</v>
      </c>
      <c r="D532" s="33" t="s">
        <v>1179</v>
      </c>
      <c r="E532" s="10">
        <f>13627.18</f>
        <v>13627.18</v>
      </c>
      <c r="F532" s="10">
        <f>4941.3</f>
        <v>4941.3</v>
      </c>
      <c r="G532" s="10" t="s">
        <v>1268</v>
      </c>
      <c r="H532" s="10">
        <f>4941.3</f>
        <v>4941.3</v>
      </c>
    </row>
    <row r="533" spans="1:8" ht="36" x14ac:dyDescent="0.2">
      <c r="A533" s="56"/>
      <c r="B533" s="50"/>
      <c r="C533" s="11" t="s">
        <v>187</v>
      </c>
      <c r="D533" s="33" t="s">
        <v>1180</v>
      </c>
      <c r="E533" s="10">
        <f>49090.16</f>
        <v>49090.16</v>
      </c>
      <c r="F533" s="10">
        <f>17955.78</f>
        <v>17955.78</v>
      </c>
      <c r="G533" s="10" t="s">
        <v>990</v>
      </c>
      <c r="H533" s="10">
        <f>17955.78</f>
        <v>17955.78</v>
      </c>
    </row>
    <row r="534" spans="1:8" ht="43.5" customHeight="1" x14ac:dyDescent="0.2">
      <c r="A534" s="56"/>
      <c r="B534" s="50"/>
      <c r="C534" s="11" t="s">
        <v>202</v>
      </c>
      <c r="D534" s="33" t="s">
        <v>1181</v>
      </c>
      <c r="E534" s="10">
        <f>66748.48</f>
        <v>66748.479999999996</v>
      </c>
      <c r="F534" s="10">
        <f>27856.72</f>
        <v>27856.720000000001</v>
      </c>
      <c r="G534" s="10" t="s">
        <v>984</v>
      </c>
      <c r="H534" s="10">
        <f>27856.72</f>
        <v>27856.720000000001</v>
      </c>
    </row>
    <row r="535" spans="1:8" ht="36" x14ac:dyDescent="0.2">
      <c r="A535" s="56"/>
      <c r="B535" s="50"/>
      <c r="C535" s="13" t="s">
        <v>11</v>
      </c>
      <c r="D535" s="32" t="s">
        <v>1182</v>
      </c>
      <c r="E535" s="17">
        <f>E536+E537+E538+E539+E540+E541+E542+E543+E544+E545+E546+E547+E548+E549+E550</f>
        <v>6966.92</v>
      </c>
      <c r="F535" s="17">
        <f>F536+F537+F538+F539+F540+F541+F542+F543+F544+F545+F546+F547+F548+F549+F550</f>
        <v>2444.54</v>
      </c>
      <c r="G535" s="17" t="s">
        <v>1269</v>
      </c>
      <c r="H535" s="17">
        <f>H536+H537+H538+H539+H540+H541+H542+H543+H544+H545+H546+H547+H548+H549+H550</f>
        <v>2444.54</v>
      </c>
    </row>
    <row r="536" spans="1:8" ht="24" x14ac:dyDescent="0.2">
      <c r="A536" s="56"/>
      <c r="B536" s="50"/>
      <c r="C536" s="11" t="s">
        <v>178</v>
      </c>
      <c r="D536" s="33" t="s">
        <v>1183</v>
      </c>
      <c r="E536" s="10">
        <f>0</f>
        <v>0</v>
      </c>
      <c r="F536" s="10">
        <f>0</f>
        <v>0</v>
      </c>
      <c r="G536" s="10" t="s">
        <v>1158</v>
      </c>
      <c r="H536" s="10">
        <f>0</f>
        <v>0</v>
      </c>
    </row>
    <row r="537" spans="1:8" ht="36" x14ac:dyDescent="0.2">
      <c r="A537" s="56"/>
      <c r="B537" s="50"/>
      <c r="C537" s="11" t="s">
        <v>187</v>
      </c>
      <c r="D537" s="33" t="s">
        <v>1184</v>
      </c>
      <c r="E537" s="10">
        <f>0</f>
        <v>0</v>
      </c>
      <c r="F537" s="10">
        <f>0</f>
        <v>0</v>
      </c>
      <c r="G537" s="10" t="s">
        <v>1158</v>
      </c>
      <c r="H537" s="10">
        <f>0</f>
        <v>0</v>
      </c>
    </row>
    <row r="538" spans="1:8" ht="192" x14ac:dyDescent="0.2">
      <c r="A538" s="56"/>
      <c r="B538" s="50"/>
      <c r="C538" s="11" t="s">
        <v>202</v>
      </c>
      <c r="D538" s="33" t="s">
        <v>1185</v>
      </c>
      <c r="E538" s="10">
        <f>0</f>
        <v>0</v>
      </c>
      <c r="F538" s="10">
        <f>0</f>
        <v>0</v>
      </c>
      <c r="G538" s="10" t="s">
        <v>1158</v>
      </c>
      <c r="H538" s="10">
        <f>0</f>
        <v>0</v>
      </c>
    </row>
    <row r="539" spans="1:8" ht="60" x14ac:dyDescent="0.2">
      <c r="A539" s="56"/>
      <c r="B539" s="50"/>
      <c r="C539" s="11" t="s">
        <v>209</v>
      </c>
      <c r="D539" s="33" t="s">
        <v>1186</v>
      </c>
      <c r="E539" s="10">
        <f>0</f>
        <v>0</v>
      </c>
      <c r="F539" s="10">
        <f>0</f>
        <v>0</v>
      </c>
      <c r="G539" s="10" t="s">
        <v>1158</v>
      </c>
      <c r="H539" s="10">
        <f>0</f>
        <v>0</v>
      </c>
    </row>
    <row r="540" spans="1:8" ht="24" x14ac:dyDescent="0.2">
      <c r="A540" s="56"/>
      <c r="B540" s="50"/>
      <c r="C540" s="11" t="s">
        <v>214</v>
      </c>
      <c r="D540" s="33" t="s">
        <v>1187</v>
      </c>
      <c r="E540" s="10">
        <f>0</f>
        <v>0</v>
      </c>
      <c r="F540" s="10">
        <f>0</f>
        <v>0</v>
      </c>
      <c r="G540" s="10" t="s">
        <v>1158</v>
      </c>
      <c r="H540" s="10">
        <f>0</f>
        <v>0</v>
      </c>
    </row>
    <row r="541" spans="1:8" ht="24" x14ac:dyDescent="0.2">
      <c r="A541" s="56"/>
      <c r="B541" s="50"/>
      <c r="C541" s="11" t="s">
        <v>258</v>
      </c>
      <c r="D541" s="33" t="s">
        <v>1188</v>
      </c>
      <c r="E541" s="10">
        <f>0</f>
        <v>0</v>
      </c>
      <c r="F541" s="10">
        <f>0</f>
        <v>0</v>
      </c>
      <c r="G541" s="10" t="s">
        <v>1158</v>
      </c>
      <c r="H541" s="10">
        <f>0</f>
        <v>0</v>
      </c>
    </row>
    <row r="542" spans="1:8" ht="24" x14ac:dyDescent="0.2">
      <c r="A542" s="56"/>
      <c r="B542" s="50"/>
      <c r="C542" s="11" t="s">
        <v>579</v>
      </c>
      <c r="D542" s="33" t="s">
        <v>1189</v>
      </c>
      <c r="E542" s="10">
        <f>0</f>
        <v>0</v>
      </c>
      <c r="F542" s="10">
        <f>0</f>
        <v>0</v>
      </c>
      <c r="G542" s="10" t="s">
        <v>1158</v>
      </c>
      <c r="H542" s="10">
        <f>0</f>
        <v>0</v>
      </c>
    </row>
    <row r="543" spans="1:8" ht="36" x14ac:dyDescent="0.2">
      <c r="A543" s="56"/>
      <c r="B543" s="50"/>
      <c r="C543" s="11" t="s">
        <v>851</v>
      </c>
      <c r="D543" s="33" t="s">
        <v>1190</v>
      </c>
      <c r="E543" s="10">
        <f>0</f>
        <v>0</v>
      </c>
      <c r="F543" s="10">
        <f>0</f>
        <v>0</v>
      </c>
      <c r="G543" s="10" t="s">
        <v>1158</v>
      </c>
      <c r="H543" s="10">
        <f>0</f>
        <v>0</v>
      </c>
    </row>
    <row r="544" spans="1:8" ht="36" x14ac:dyDescent="0.2">
      <c r="A544" s="56"/>
      <c r="B544" s="50"/>
      <c r="C544" s="11" t="s">
        <v>887</v>
      </c>
      <c r="D544" s="33" t="s">
        <v>1191</v>
      </c>
      <c r="E544" s="10">
        <f>0</f>
        <v>0</v>
      </c>
      <c r="F544" s="10">
        <f>0</f>
        <v>0</v>
      </c>
      <c r="G544" s="10" t="s">
        <v>1158</v>
      </c>
      <c r="H544" s="10">
        <f>0</f>
        <v>0</v>
      </c>
    </row>
    <row r="545" spans="1:8" ht="24" x14ac:dyDescent="0.2">
      <c r="A545" s="56"/>
      <c r="B545" s="50"/>
      <c r="C545" s="11" t="s">
        <v>889</v>
      </c>
      <c r="D545" s="33" t="s">
        <v>1192</v>
      </c>
      <c r="E545" s="10">
        <f>0</f>
        <v>0</v>
      </c>
      <c r="F545" s="10">
        <f>0</f>
        <v>0</v>
      </c>
      <c r="G545" s="10" t="s">
        <v>1158</v>
      </c>
      <c r="H545" s="10">
        <f>0</f>
        <v>0</v>
      </c>
    </row>
    <row r="546" spans="1:8" ht="24" x14ac:dyDescent="0.2">
      <c r="A546" s="56"/>
      <c r="B546" s="50"/>
      <c r="C546" s="11" t="s">
        <v>146</v>
      </c>
      <c r="D546" s="33" t="s">
        <v>1193</v>
      </c>
      <c r="E546" s="10">
        <f>0</f>
        <v>0</v>
      </c>
      <c r="F546" s="10">
        <f>0</f>
        <v>0</v>
      </c>
      <c r="G546" s="10" t="s">
        <v>1158</v>
      </c>
      <c r="H546" s="10">
        <f>0</f>
        <v>0</v>
      </c>
    </row>
    <row r="547" spans="1:8" ht="24" x14ac:dyDescent="0.2">
      <c r="A547" s="56"/>
      <c r="B547" s="50"/>
      <c r="C547" s="11" t="s">
        <v>149</v>
      </c>
      <c r="D547" s="33" t="s">
        <v>1194</v>
      </c>
      <c r="E547" s="10">
        <f>0</f>
        <v>0</v>
      </c>
      <c r="F547" s="10">
        <f>0</f>
        <v>0</v>
      </c>
      <c r="G547" s="10" t="s">
        <v>1158</v>
      </c>
      <c r="H547" s="10">
        <f>0</f>
        <v>0</v>
      </c>
    </row>
    <row r="548" spans="1:8" ht="48" x14ac:dyDescent="0.2">
      <c r="A548" s="56"/>
      <c r="B548" s="50"/>
      <c r="C548" s="11" t="s">
        <v>150</v>
      </c>
      <c r="D548" s="33" t="s">
        <v>1195</v>
      </c>
      <c r="E548" s="10">
        <f>6742.72</f>
        <v>6742.72</v>
      </c>
      <c r="F548" s="10">
        <f>2391.84</f>
        <v>2391.84</v>
      </c>
      <c r="G548" s="10" t="s">
        <v>1126</v>
      </c>
      <c r="H548" s="10">
        <f>2391.84</f>
        <v>2391.84</v>
      </c>
    </row>
    <row r="549" spans="1:8" ht="24" x14ac:dyDescent="0.2">
      <c r="A549" s="56"/>
      <c r="B549" s="50"/>
      <c r="C549" s="11" t="s">
        <v>1196</v>
      </c>
      <c r="D549" s="33" t="s">
        <v>1197</v>
      </c>
      <c r="E549" s="10">
        <f>0</f>
        <v>0</v>
      </c>
      <c r="F549" s="10">
        <f>0</f>
        <v>0</v>
      </c>
      <c r="G549" s="10" t="s">
        <v>1158</v>
      </c>
      <c r="H549" s="10">
        <f>0</f>
        <v>0</v>
      </c>
    </row>
    <row r="550" spans="1:8" ht="36" x14ac:dyDescent="0.2">
      <c r="A550" s="56"/>
      <c r="B550" s="50"/>
      <c r="C550" s="11" t="s">
        <v>1198</v>
      </c>
      <c r="D550" s="33" t="s">
        <v>1199</v>
      </c>
      <c r="E550" s="10">
        <f>224.2</f>
        <v>224.2</v>
      </c>
      <c r="F550" s="10">
        <f>52.7</f>
        <v>52.7</v>
      </c>
      <c r="G550" s="10" t="s">
        <v>1270</v>
      </c>
      <c r="H550" s="10">
        <f>52.7</f>
        <v>52.7</v>
      </c>
    </row>
    <row r="551" spans="1:8" ht="36" x14ac:dyDescent="0.2">
      <c r="A551" s="56"/>
      <c r="B551" s="50"/>
      <c r="C551" s="13" t="s">
        <v>12</v>
      </c>
      <c r="D551" s="32" t="s">
        <v>1200</v>
      </c>
      <c r="E551" s="17">
        <f>E552+E558+E561+E564+E565</f>
        <v>2700</v>
      </c>
      <c r="F551" s="17">
        <f>F552+F558+F561+F564+F565</f>
        <v>0</v>
      </c>
      <c r="G551" s="17" t="s">
        <v>165</v>
      </c>
      <c r="H551" s="17">
        <f>H552+H558+H561+H564+H565</f>
        <v>0</v>
      </c>
    </row>
    <row r="552" spans="1:8" ht="36" x14ac:dyDescent="0.2">
      <c r="A552" s="56"/>
      <c r="B552" s="50"/>
      <c r="C552" s="11" t="s">
        <v>178</v>
      </c>
      <c r="D552" s="33" t="s">
        <v>1201</v>
      </c>
      <c r="E552" s="10">
        <f>E553+E554+E555+E556+E557</f>
        <v>0</v>
      </c>
      <c r="F552" s="10">
        <f>F553+F554+F555+F556+F557</f>
        <v>0</v>
      </c>
      <c r="G552" s="10" t="s">
        <v>1158</v>
      </c>
      <c r="H552" s="10">
        <f>H553+H554+H555+H556+H557</f>
        <v>0</v>
      </c>
    </row>
    <row r="553" spans="1:8" ht="48" x14ac:dyDescent="0.2">
      <c r="A553" s="56"/>
      <c r="B553" s="50"/>
      <c r="C553" s="14" t="s">
        <v>14</v>
      </c>
      <c r="D553" s="33" t="s">
        <v>1202</v>
      </c>
      <c r="E553" s="10">
        <f>0</f>
        <v>0</v>
      </c>
      <c r="F553" s="10">
        <f>0</f>
        <v>0</v>
      </c>
      <c r="G553" s="10" t="s">
        <v>1158</v>
      </c>
      <c r="H553" s="10">
        <f>0</f>
        <v>0</v>
      </c>
    </row>
    <row r="554" spans="1:8" ht="48" x14ac:dyDescent="0.2">
      <c r="A554" s="56"/>
      <c r="B554" s="50"/>
      <c r="C554" s="14" t="s">
        <v>15</v>
      </c>
      <c r="D554" s="33" t="s">
        <v>1203</v>
      </c>
      <c r="E554" s="10">
        <f>0</f>
        <v>0</v>
      </c>
      <c r="F554" s="10">
        <f>0</f>
        <v>0</v>
      </c>
      <c r="G554" s="10" t="s">
        <v>1158</v>
      </c>
      <c r="H554" s="10">
        <f>0</f>
        <v>0</v>
      </c>
    </row>
    <row r="555" spans="1:8" ht="36" x14ac:dyDescent="0.2">
      <c r="A555" s="56"/>
      <c r="B555" s="50"/>
      <c r="C555" s="14" t="s">
        <v>17</v>
      </c>
      <c r="D555" s="33" t="s">
        <v>1204</v>
      </c>
      <c r="E555" s="10">
        <f>0</f>
        <v>0</v>
      </c>
      <c r="F555" s="10">
        <f>0</f>
        <v>0</v>
      </c>
      <c r="G555" s="10" t="s">
        <v>1158</v>
      </c>
      <c r="H555" s="10">
        <f>0</f>
        <v>0</v>
      </c>
    </row>
    <row r="556" spans="1:8" ht="72" x14ac:dyDescent="0.2">
      <c r="A556" s="56"/>
      <c r="B556" s="50"/>
      <c r="C556" s="14" t="s">
        <v>19</v>
      </c>
      <c r="D556" s="33" t="s">
        <v>1205</v>
      </c>
      <c r="E556" s="10">
        <f>0</f>
        <v>0</v>
      </c>
      <c r="F556" s="10">
        <f>0</f>
        <v>0</v>
      </c>
      <c r="G556" s="10" t="s">
        <v>1158</v>
      </c>
      <c r="H556" s="10">
        <f>0</f>
        <v>0</v>
      </c>
    </row>
    <row r="557" spans="1:8" ht="48" x14ac:dyDescent="0.2">
      <c r="A557" s="56"/>
      <c r="B557" s="50"/>
      <c r="C557" s="14" t="s">
        <v>21</v>
      </c>
      <c r="D557" s="33" t="s">
        <v>1206</v>
      </c>
      <c r="E557" s="10">
        <f>0</f>
        <v>0</v>
      </c>
      <c r="F557" s="10">
        <f>0</f>
        <v>0</v>
      </c>
      <c r="G557" s="10" t="s">
        <v>1158</v>
      </c>
      <c r="H557" s="10">
        <f>0</f>
        <v>0</v>
      </c>
    </row>
    <row r="558" spans="1:8" ht="60" x14ac:dyDescent="0.2">
      <c r="A558" s="56"/>
      <c r="B558" s="50"/>
      <c r="C558" s="11" t="s">
        <v>187</v>
      </c>
      <c r="D558" s="33" t="s">
        <v>1207</v>
      </c>
      <c r="E558" s="10">
        <f>E559+E560</f>
        <v>0</v>
      </c>
      <c r="F558" s="10">
        <f>F559+F560</f>
        <v>0</v>
      </c>
      <c r="G558" s="10" t="s">
        <v>1158</v>
      </c>
      <c r="H558" s="10">
        <f>H559+H560</f>
        <v>0</v>
      </c>
    </row>
    <row r="559" spans="1:8" ht="60" x14ac:dyDescent="0.2">
      <c r="A559" s="56"/>
      <c r="B559" s="50"/>
      <c r="C559" s="14" t="s">
        <v>98</v>
      </c>
      <c r="D559" s="33" t="s">
        <v>1208</v>
      </c>
      <c r="E559" s="10">
        <f>0</f>
        <v>0</v>
      </c>
      <c r="F559" s="10">
        <f>0</f>
        <v>0</v>
      </c>
      <c r="G559" s="10" t="s">
        <v>1158</v>
      </c>
      <c r="H559" s="10">
        <f>0</f>
        <v>0</v>
      </c>
    </row>
    <row r="560" spans="1:8" ht="48" x14ac:dyDescent="0.2">
      <c r="A560" s="56"/>
      <c r="B560" s="50"/>
      <c r="C560" s="14" t="s">
        <v>190</v>
      </c>
      <c r="D560" s="33" t="s">
        <v>1209</v>
      </c>
      <c r="E560" s="10">
        <f>0</f>
        <v>0</v>
      </c>
      <c r="F560" s="10">
        <f>0</f>
        <v>0</v>
      </c>
      <c r="G560" s="10" t="s">
        <v>1158</v>
      </c>
      <c r="H560" s="10">
        <f>0</f>
        <v>0</v>
      </c>
    </row>
    <row r="561" spans="1:8" ht="36" x14ac:dyDescent="0.2">
      <c r="A561" s="56"/>
      <c r="B561" s="50"/>
      <c r="C561" s="11" t="s">
        <v>202</v>
      </c>
      <c r="D561" s="33" t="s">
        <v>1210</v>
      </c>
      <c r="E561" s="10">
        <f>E562+E563</f>
        <v>2700</v>
      </c>
      <c r="F561" s="10">
        <f>F562+F563</f>
        <v>0</v>
      </c>
      <c r="G561" s="10" t="s">
        <v>165</v>
      </c>
      <c r="H561" s="10">
        <f>H562+H563</f>
        <v>0</v>
      </c>
    </row>
    <row r="562" spans="1:8" ht="36" x14ac:dyDescent="0.2">
      <c r="A562" s="56"/>
      <c r="B562" s="50"/>
      <c r="C562" s="14" t="s">
        <v>104</v>
      </c>
      <c r="D562" s="33" t="s">
        <v>1211</v>
      </c>
      <c r="E562" s="10">
        <f>2700</f>
        <v>2700</v>
      </c>
      <c r="F562" s="10">
        <f>0</f>
        <v>0</v>
      </c>
      <c r="G562" s="10" t="s">
        <v>165</v>
      </c>
      <c r="H562" s="10">
        <f>0</f>
        <v>0</v>
      </c>
    </row>
    <row r="563" spans="1:8" ht="24" x14ac:dyDescent="0.2">
      <c r="A563" s="56"/>
      <c r="B563" s="50"/>
      <c r="C563" s="14" t="s">
        <v>205</v>
      </c>
      <c r="D563" s="33" t="s">
        <v>1212</v>
      </c>
      <c r="E563" s="10">
        <f>0</f>
        <v>0</v>
      </c>
      <c r="F563" s="10">
        <f>0</f>
        <v>0</v>
      </c>
      <c r="G563" s="10" t="s">
        <v>1158</v>
      </c>
      <c r="H563" s="10">
        <f>0</f>
        <v>0</v>
      </c>
    </row>
    <row r="564" spans="1:8" ht="24" x14ac:dyDescent="0.2">
      <c r="A564" s="56"/>
      <c r="B564" s="50"/>
      <c r="C564" s="11" t="s">
        <v>209</v>
      </c>
      <c r="D564" s="33" t="s">
        <v>1213</v>
      </c>
      <c r="E564" s="10">
        <f>0</f>
        <v>0</v>
      </c>
      <c r="F564" s="10">
        <f>0</f>
        <v>0</v>
      </c>
      <c r="G564" s="10" t="s">
        <v>1158</v>
      </c>
      <c r="H564" s="10">
        <f>0</f>
        <v>0</v>
      </c>
    </row>
    <row r="565" spans="1:8" ht="36" x14ac:dyDescent="0.2">
      <c r="A565" s="56"/>
      <c r="B565" s="50"/>
      <c r="C565" s="11" t="s">
        <v>214</v>
      </c>
      <c r="D565" s="33" t="s">
        <v>1214</v>
      </c>
      <c r="E565" s="10">
        <f>0</f>
        <v>0</v>
      </c>
      <c r="F565" s="10">
        <f>0</f>
        <v>0</v>
      </c>
      <c r="G565" s="10" t="s">
        <v>1158</v>
      </c>
      <c r="H565" s="10">
        <f>0</f>
        <v>0</v>
      </c>
    </row>
    <row r="566" spans="1:8" ht="36" x14ac:dyDescent="0.2">
      <c r="A566" s="56"/>
      <c r="B566" s="50"/>
      <c r="C566" s="13" t="s">
        <v>124</v>
      </c>
      <c r="D566" s="32" t="s">
        <v>1215</v>
      </c>
      <c r="E566" s="17">
        <f>E567+E568+E569</f>
        <v>228355.41999999998</v>
      </c>
      <c r="F566" s="17">
        <f>F567+F568+F569</f>
        <v>104877.19</v>
      </c>
      <c r="G566" s="17" t="s">
        <v>1271</v>
      </c>
      <c r="H566" s="17">
        <f>H567+H568+H569</f>
        <v>104877.19</v>
      </c>
    </row>
    <row r="567" spans="1:8" ht="36" x14ac:dyDescent="0.2">
      <c r="A567" s="56"/>
      <c r="B567" s="50"/>
      <c r="C567" s="11" t="s">
        <v>178</v>
      </c>
      <c r="D567" s="33" t="s">
        <v>1216</v>
      </c>
      <c r="E567" s="10">
        <f>185080.86+941</f>
        <v>186021.86</v>
      </c>
      <c r="F567" s="10">
        <f>104877.19</f>
        <v>104877.19</v>
      </c>
      <c r="G567" s="10" t="s">
        <v>1272</v>
      </c>
      <c r="H567" s="10">
        <f>104877.19</f>
        <v>104877.19</v>
      </c>
    </row>
    <row r="568" spans="1:8" ht="36" x14ac:dyDescent="0.2">
      <c r="A568" s="56"/>
      <c r="B568" s="50"/>
      <c r="C568" s="11" t="s">
        <v>187</v>
      </c>
      <c r="D568" s="33" t="s">
        <v>1217</v>
      </c>
      <c r="E568" s="10">
        <f>23255.17</f>
        <v>23255.17</v>
      </c>
      <c r="F568" s="10">
        <f>0</f>
        <v>0</v>
      </c>
      <c r="G568" s="10" t="s">
        <v>165</v>
      </c>
      <c r="H568" s="10">
        <f>0</f>
        <v>0</v>
      </c>
    </row>
    <row r="569" spans="1:8" ht="36" x14ac:dyDescent="0.2">
      <c r="A569" s="56"/>
      <c r="B569" s="50"/>
      <c r="C569" s="11" t="s">
        <v>202</v>
      </c>
      <c r="D569" s="33" t="s">
        <v>1218</v>
      </c>
      <c r="E569" s="10">
        <f>17057.39+2021</f>
        <v>19078.39</v>
      </c>
      <c r="F569" s="10">
        <f>0</f>
        <v>0</v>
      </c>
      <c r="G569" s="10" t="s">
        <v>165</v>
      </c>
      <c r="H569" s="10">
        <f>0</f>
        <v>0</v>
      </c>
    </row>
    <row r="570" spans="1:8" ht="36" x14ac:dyDescent="0.2">
      <c r="A570" s="56"/>
      <c r="B570" s="50"/>
      <c r="C570" s="13" t="s">
        <v>130</v>
      </c>
      <c r="D570" s="32" t="s">
        <v>1219</v>
      </c>
      <c r="E570" s="17">
        <f>E571+E572+E573+E574+E575+E576+E589+E600+E602+E604</f>
        <v>100</v>
      </c>
      <c r="F570" s="17">
        <f>F571+F572+F573+F574+F575+F576+F589+F600+F602+F604</f>
        <v>94</v>
      </c>
      <c r="G570" s="17" t="s">
        <v>1273</v>
      </c>
      <c r="H570" s="17">
        <f>H571+H572+H573+H574+H575+H576+H589+H600+H602+H604</f>
        <v>94</v>
      </c>
    </row>
    <row r="571" spans="1:8" ht="24" x14ac:dyDescent="0.2">
      <c r="A571" s="56"/>
      <c r="B571" s="50"/>
      <c r="C571" s="11" t="s">
        <v>178</v>
      </c>
      <c r="D571" s="33" t="s">
        <v>1220</v>
      </c>
      <c r="E571" s="10">
        <f>0</f>
        <v>0</v>
      </c>
      <c r="F571" s="10">
        <f>0</f>
        <v>0</v>
      </c>
      <c r="G571" s="10" t="s">
        <v>1158</v>
      </c>
      <c r="H571" s="10">
        <f>0</f>
        <v>0</v>
      </c>
    </row>
    <row r="572" spans="1:8" ht="36" x14ac:dyDescent="0.2">
      <c r="A572" s="56"/>
      <c r="B572" s="50"/>
      <c r="C572" s="11" t="s">
        <v>187</v>
      </c>
      <c r="D572" s="33" t="s">
        <v>1221</v>
      </c>
      <c r="E572" s="10">
        <f>0</f>
        <v>0</v>
      </c>
      <c r="F572" s="10">
        <f>0</f>
        <v>0</v>
      </c>
      <c r="G572" s="10" t="s">
        <v>1158</v>
      </c>
      <c r="H572" s="10">
        <f>0</f>
        <v>0</v>
      </c>
    </row>
    <row r="573" spans="1:8" ht="36" x14ac:dyDescent="0.2">
      <c r="A573" s="56"/>
      <c r="B573" s="50"/>
      <c r="C573" s="11" t="s">
        <v>202</v>
      </c>
      <c r="D573" s="33" t="s">
        <v>1222</v>
      </c>
      <c r="E573" s="10">
        <f>0</f>
        <v>0</v>
      </c>
      <c r="F573" s="10">
        <f>0</f>
        <v>0</v>
      </c>
      <c r="G573" s="10" t="s">
        <v>1158</v>
      </c>
      <c r="H573" s="10">
        <f>0</f>
        <v>0</v>
      </c>
    </row>
    <row r="574" spans="1:8" ht="48" x14ac:dyDescent="0.2">
      <c r="A574" s="56"/>
      <c r="B574" s="50"/>
      <c r="C574" s="11" t="s">
        <v>209</v>
      </c>
      <c r="D574" s="33" t="s">
        <v>1223</v>
      </c>
      <c r="E574" s="10">
        <f>0</f>
        <v>0</v>
      </c>
      <c r="F574" s="10">
        <f>0</f>
        <v>0</v>
      </c>
      <c r="G574" s="10" t="s">
        <v>1158</v>
      </c>
      <c r="H574" s="10">
        <f>0</f>
        <v>0</v>
      </c>
    </row>
    <row r="575" spans="1:8" ht="24" x14ac:dyDescent="0.2">
      <c r="A575" s="56"/>
      <c r="B575" s="50"/>
      <c r="C575" s="11" t="s">
        <v>214</v>
      </c>
      <c r="D575" s="33" t="s">
        <v>1224</v>
      </c>
      <c r="E575" s="10">
        <f>0</f>
        <v>0</v>
      </c>
      <c r="F575" s="10">
        <f>0</f>
        <v>0</v>
      </c>
      <c r="G575" s="10" t="s">
        <v>1158</v>
      </c>
      <c r="H575" s="10">
        <f>0</f>
        <v>0</v>
      </c>
    </row>
    <row r="576" spans="1:8" ht="36" x14ac:dyDescent="0.2">
      <c r="A576" s="56"/>
      <c r="B576" s="50"/>
      <c r="C576" s="11" t="s">
        <v>258</v>
      </c>
      <c r="D576" s="33" t="s">
        <v>1225</v>
      </c>
      <c r="E576" s="10">
        <f>E577+E581+E585</f>
        <v>100</v>
      </c>
      <c r="F576" s="10">
        <f>F577+F581+F585</f>
        <v>94</v>
      </c>
      <c r="G576" s="10" t="s">
        <v>1273</v>
      </c>
      <c r="H576" s="10">
        <f>H577+H581+H585</f>
        <v>94</v>
      </c>
    </row>
    <row r="577" spans="1:8" ht="36" x14ac:dyDescent="0.2">
      <c r="A577" s="56"/>
      <c r="B577" s="50"/>
      <c r="C577" s="14" t="s">
        <v>260</v>
      </c>
      <c r="D577" s="33" t="s">
        <v>1226</v>
      </c>
      <c r="E577" s="10">
        <f>E578+E579+E580</f>
        <v>100</v>
      </c>
      <c r="F577" s="10">
        <f>F578+F579+F580</f>
        <v>94</v>
      </c>
      <c r="G577" s="10" t="s">
        <v>1273</v>
      </c>
      <c r="H577" s="10">
        <f>H578+H579+H580</f>
        <v>94</v>
      </c>
    </row>
    <row r="578" spans="1:8" ht="36" x14ac:dyDescent="0.2">
      <c r="A578" s="56"/>
      <c r="B578" s="50"/>
      <c r="C578" s="14" t="s">
        <v>1227</v>
      </c>
      <c r="D578" s="33" t="s">
        <v>1228</v>
      </c>
      <c r="E578" s="10">
        <f>50</f>
        <v>50</v>
      </c>
      <c r="F578" s="10">
        <f>50</f>
        <v>50</v>
      </c>
      <c r="G578" s="10" t="s">
        <v>175</v>
      </c>
      <c r="H578" s="10">
        <f>50</f>
        <v>50</v>
      </c>
    </row>
    <row r="579" spans="1:8" ht="36" x14ac:dyDescent="0.2">
      <c r="A579" s="56"/>
      <c r="B579" s="50"/>
      <c r="C579" s="14" t="s">
        <v>1229</v>
      </c>
      <c r="D579" s="33" t="s">
        <v>1230</v>
      </c>
      <c r="E579" s="10">
        <f>50</f>
        <v>50</v>
      </c>
      <c r="F579" s="10">
        <f>44</f>
        <v>44</v>
      </c>
      <c r="G579" s="10" t="s">
        <v>1274</v>
      </c>
      <c r="H579" s="10">
        <f>44</f>
        <v>44</v>
      </c>
    </row>
    <row r="580" spans="1:8" ht="36" x14ac:dyDescent="0.2">
      <c r="A580" s="56"/>
      <c r="B580" s="50"/>
      <c r="C580" s="14" t="s">
        <v>1231</v>
      </c>
      <c r="D580" s="33" t="s">
        <v>1232</v>
      </c>
      <c r="E580" s="10">
        <f>0</f>
        <v>0</v>
      </c>
      <c r="F580" s="10">
        <f>0</f>
        <v>0</v>
      </c>
      <c r="G580" s="10" t="s">
        <v>1158</v>
      </c>
      <c r="H580" s="10">
        <f>0</f>
        <v>0</v>
      </c>
    </row>
    <row r="581" spans="1:8" ht="24" x14ac:dyDescent="0.2">
      <c r="A581" s="56"/>
      <c r="B581" s="50"/>
      <c r="C581" s="14" t="s">
        <v>262</v>
      </c>
      <c r="D581" s="33" t="s">
        <v>1233</v>
      </c>
      <c r="E581" s="10">
        <f>E582+E583+E584</f>
        <v>0</v>
      </c>
      <c r="F581" s="10">
        <f>F582+F583+F584</f>
        <v>0</v>
      </c>
      <c r="G581" s="10" t="s">
        <v>1158</v>
      </c>
      <c r="H581" s="10">
        <f>H582+H583+H584</f>
        <v>0</v>
      </c>
    </row>
    <row r="582" spans="1:8" ht="24" x14ac:dyDescent="0.2">
      <c r="A582" s="56"/>
      <c r="B582" s="50"/>
      <c r="C582" s="14" t="s">
        <v>1234</v>
      </c>
      <c r="D582" s="33" t="s">
        <v>1235</v>
      </c>
      <c r="E582" s="10">
        <f>0</f>
        <v>0</v>
      </c>
      <c r="F582" s="10">
        <f>0</f>
        <v>0</v>
      </c>
      <c r="G582" s="10" t="s">
        <v>1158</v>
      </c>
      <c r="H582" s="10">
        <f>0</f>
        <v>0</v>
      </c>
    </row>
    <row r="583" spans="1:8" ht="24" x14ac:dyDescent="0.2">
      <c r="A583" s="56"/>
      <c r="B583" s="50"/>
      <c r="C583" s="14" t="s">
        <v>1236</v>
      </c>
      <c r="D583" s="33" t="s">
        <v>1237</v>
      </c>
      <c r="E583" s="10">
        <f>0</f>
        <v>0</v>
      </c>
      <c r="F583" s="10">
        <f>0</f>
        <v>0</v>
      </c>
      <c r="G583" s="10" t="s">
        <v>1158</v>
      </c>
      <c r="H583" s="10">
        <f>0</f>
        <v>0</v>
      </c>
    </row>
    <row r="584" spans="1:8" ht="36" x14ac:dyDescent="0.2">
      <c r="A584" s="56"/>
      <c r="B584" s="50"/>
      <c r="C584" s="14" t="s">
        <v>1238</v>
      </c>
      <c r="D584" s="33" t="s">
        <v>1232</v>
      </c>
      <c r="E584" s="10">
        <f>0</f>
        <v>0</v>
      </c>
      <c r="F584" s="10">
        <f>0</f>
        <v>0</v>
      </c>
      <c r="G584" s="10" t="s">
        <v>1158</v>
      </c>
      <c r="H584" s="10">
        <f>0</f>
        <v>0</v>
      </c>
    </row>
    <row r="585" spans="1:8" ht="31.5" customHeight="1" x14ac:dyDescent="0.2">
      <c r="A585" s="56"/>
      <c r="B585" s="50"/>
      <c r="C585" s="14" t="s">
        <v>264</v>
      </c>
      <c r="D585" s="33" t="s">
        <v>1239</v>
      </c>
      <c r="E585" s="10">
        <f>E586+E587+E588</f>
        <v>0</v>
      </c>
      <c r="F585" s="10">
        <f>F586+F587+F588</f>
        <v>0</v>
      </c>
      <c r="G585" s="10" t="s">
        <v>1158</v>
      </c>
      <c r="H585" s="10">
        <f>H586+H587+H588</f>
        <v>0</v>
      </c>
    </row>
    <row r="586" spans="1:8" ht="24" x14ac:dyDescent="0.2">
      <c r="A586" s="56"/>
      <c r="B586" s="50"/>
      <c r="C586" s="14" t="s">
        <v>1240</v>
      </c>
      <c r="D586" s="33" t="s">
        <v>1235</v>
      </c>
      <c r="E586" s="10">
        <f>0</f>
        <v>0</v>
      </c>
      <c r="F586" s="10">
        <f>0</f>
        <v>0</v>
      </c>
      <c r="G586" s="10" t="s">
        <v>1158</v>
      </c>
      <c r="H586" s="10">
        <f>0</f>
        <v>0</v>
      </c>
    </row>
    <row r="587" spans="1:8" ht="24" x14ac:dyDescent="0.2">
      <c r="A587" s="56"/>
      <c r="B587" s="50"/>
      <c r="C587" s="14" t="s">
        <v>1241</v>
      </c>
      <c r="D587" s="33" t="s">
        <v>1230</v>
      </c>
      <c r="E587" s="10">
        <f>0</f>
        <v>0</v>
      </c>
      <c r="F587" s="10">
        <f>0</f>
        <v>0</v>
      </c>
      <c r="G587" s="10" t="s">
        <v>1158</v>
      </c>
      <c r="H587" s="10">
        <f>0</f>
        <v>0</v>
      </c>
    </row>
    <row r="588" spans="1:8" ht="36" x14ac:dyDescent="0.2">
      <c r="A588" s="56"/>
      <c r="B588" s="50"/>
      <c r="C588" s="14" t="s">
        <v>1242</v>
      </c>
      <c r="D588" s="33" t="s">
        <v>1232</v>
      </c>
      <c r="E588" s="10">
        <f>0</f>
        <v>0</v>
      </c>
      <c r="F588" s="10">
        <f>0</f>
        <v>0</v>
      </c>
      <c r="G588" s="10" t="s">
        <v>1158</v>
      </c>
      <c r="H588" s="10">
        <f>0</f>
        <v>0</v>
      </c>
    </row>
    <row r="589" spans="1:8" ht="27.75" customHeight="1" x14ac:dyDescent="0.2">
      <c r="A589" s="56"/>
      <c r="B589" s="50"/>
      <c r="C589" s="11" t="s">
        <v>579</v>
      </c>
      <c r="D589" s="33" t="s">
        <v>1243</v>
      </c>
      <c r="E589" s="10">
        <f>E590+E595</f>
        <v>0</v>
      </c>
      <c r="F589" s="10">
        <f>F590+F595</f>
        <v>0</v>
      </c>
      <c r="G589" s="10" t="s">
        <v>1158</v>
      </c>
      <c r="H589" s="10">
        <f>H590+H595</f>
        <v>0</v>
      </c>
    </row>
    <row r="590" spans="1:8" ht="24" x14ac:dyDescent="0.2">
      <c r="A590" s="56"/>
      <c r="B590" s="50"/>
      <c r="C590" s="14" t="s">
        <v>581</v>
      </c>
      <c r="D590" s="33" t="s">
        <v>1244</v>
      </c>
      <c r="E590" s="10">
        <f>E591+E592+E593+E594</f>
        <v>0</v>
      </c>
      <c r="F590" s="10">
        <f>F591+F592+F593+F594</f>
        <v>0</v>
      </c>
      <c r="G590" s="10" t="s">
        <v>1158</v>
      </c>
      <c r="H590" s="10">
        <f>H591+H592+H593+H594</f>
        <v>0</v>
      </c>
    </row>
    <row r="591" spans="1:8" ht="48" x14ac:dyDescent="0.2">
      <c r="A591" s="56"/>
      <c r="B591" s="50"/>
      <c r="C591" s="14" t="s">
        <v>1245</v>
      </c>
      <c r="D591" s="33" t="s">
        <v>1246</v>
      </c>
      <c r="E591" s="10">
        <f>0</f>
        <v>0</v>
      </c>
      <c r="F591" s="10">
        <f>0</f>
        <v>0</v>
      </c>
      <c r="G591" s="10" t="s">
        <v>1158</v>
      </c>
      <c r="H591" s="10">
        <f>0</f>
        <v>0</v>
      </c>
    </row>
    <row r="592" spans="1:8" ht="48" x14ac:dyDescent="0.2">
      <c r="A592" s="56"/>
      <c r="B592" s="50"/>
      <c r="C592" s="14" t="s">
        <v>1247</v>
      </c>
      <c r="D592" s="33" t="s">
        <v>1248</v>
      </c>
      <c r="E592" s="10">
        <f>0</f>
        <v>0</v>
      </c>
      <c r="F592" s="10">
        <f>0</f>
        <v>0</v>
      </c>
      <c r="G592" s="10" t="s">
        <v>1158</v>
      </c>
      <c r="H592" s="10">
        <f>0</f>
        <v>0</v>
      </c>
    </row>
    <row r="593" spans="1:8" ht="48" x14ac:dyDescent="0.2">
      <c r="A593" s="56"/>
      <c r="B593" s="50"/>
      <c r="C593" s="14" t="s">
        <v>1249</v>
      </c>
      <c r="D593" s="33" t="s">
        <v>1250</v>
      </c>
      <c r="E593" s="10">
        <f>0</f>
        <v>0</v>
      </c>
      <c r="F593" s="10">
        <f>0</f>
        <v>0</v>
      </c>
      <c r="G593" s="10" t="s">
        <v>1158</v>
      </c>
      <c r="H593" s="10">
        <f>0</f>
        <v>0</v>
      </c>
    </row>
    <row r="594" spans="1:8" ht="48" x14ac:dyDescent="0.2">
      <c r="A594" s="56"/>
      <c r="B594" s="50"/>
      <c r="C594" s="14" t="s">
        <v>1251</v>
      </c>
      <c r="D594" s="33" t="s">
        <v>1252</v>
      </c>
      <c r="E594" s="10">
        <f>0</f>
        <v>0</v>
      </c>
      <c r="F594" s="10">
        <f>0</f>
        <v>0</v>
      </c>
      <c r="G594" s="10" t="s">
        <v>1158</v>
      </c>
      <c r="H594" s="10">
        <f>0</f>
        <v>0</v>
      </c>
    </row>
    <row r="595" spans="1:8" ht="36" x14ac:dyDescent="0.2">
      <c r="A595" s="56"/>
      <c r="B595" s="50"/>
      <c r="C595" s="14" t="s">
        <v>841</v>
      </c>
      <c r="D595" s="33" t="s">
        <v>1253</v>
      </c>
      <c r="E595" s="10">
        <f>E596+E597+E598+E599</f>
        <v>0</v>
      </c>
      <c r="F595" s="10">
        <f>F596+F597+F598+F599</f>
        <v>0</v>
      </c>
      <c r="G595" s="10" t="s">
        <v>1158</v>
      </c>
      <c r="H595" s="10">
        <f>H596+H597+H598+H599</f>
        <v>0</v>
      </c>
    </row>
    <row r="596" spans="1:8" ht="48" x14ac:dyDescent="0.2">
      <c r="A596" s="56"/>
      <c r="B596" s="50"/>
      <c r="C596" s="14" t="s">
        <v>1254</v>
      </c>
      <c r="D596" s="33" t="s">
        <v>1246</v>
      </c>
      <c r="E596" s="10">
        <f>0</f>
        <v>0</v>
      </c>
      <c r="F596" s="10">
        <f>0</f>
        <v>0</v>
      </c>
      <c r="G596" s="10" t="s">
        <v>1158</v>
      </c>
      <c r="H596" s="10">
        <f>0</f>
        <v>0</v>
      </c>
    </row>
    <row r="597" spans="1:8" ht="48" x14ac:dyDescent="0.2">
      <c r="A597" s="56"/>
      <c r="B597" s="50"/>
      <c r="C597" s="14" t="s">
        <v>1255</v>
      </c>
      <c r="D597" s="33" t="s">
        <v>1248</v>
      </c>
      <c r="E597" s="10">
        <f>0</f>
        <v>0</v>
      </c>
      <c r="F597" s="10">
        <f>0</f>
        <v>0</v>
      </c>
      <c r="G597" s="10" t="s">
        <v>1158</v>
      </c>
      <c r="H597" s="10">
        <f>0</f>
        <v>0</v>
      </c>
    </row>
    <row r="598" spans="1:8" ht="48" x14ac:dyDescent="0.2">
      <c r="A598" s="56"/>
      <c r="B598" s="50"/>
      <c r="C598" s="14" t="s">
        <v>1256</v>
      </c>
      <c r="D598" s="33" t="s">
        <v>1250</v>
      </c>
      <c r="E598" s="10">
        <f>0</f>
        <v>0</v>
      </c>
      <c r="F598" s="10">
        <f>0</f>
        <v>0</v>
      </c>
      <c r="G598" s="10" t="s">
        <v>1158</v>
      </c>
      <c r="H598" s="10">
        <f>0</f>
        <v>0</v>
      </c>
    </row>
    <row r="599" spans="1:8" ht="48" x14ac:dyDescent="0.2">
      <c r="A599" s="56"/>
      <c r="B599" s="50"/>
      <c r="C599" s="14" t="s">
        <v>1257</v>
      </c>
      <c r="D599" s="33" t="s">
        <v>1252</v>
      </c>
      <c r="E599" s="10">
        <f>0</f>
        <v>0</v>
      </c>
      <c r="F599" s="10">
        <f>0</f>
        <v>0</v>
      </c>
      <c r="G599" s="10" t="s">
        <v>1158</v>
      </c>
      <c r="H599" s="10">
        <f>0</f>
        <v>0</v>
      </c>
    </row>
    <row r="600" spans="1:8" ht="24" x14ac:dyDescent="0.2">
      <c r="A600" s="56"/>
      <c r="B600" s="50"/>
      <c r="C600" s="11" t="s">
        <v>851</v>
      </c>
      <c r="D600" s="33" t="s">
        <v>1258</v>
      </c>
      <c r="E600" s="10">
        <f>E601</f>
        <v>0</v>
      </c>
      <c r="F600" s="10">
        <f>F601</f>
        <v>0</v>
      </c>
      <c r="G600" s="10" t="s">
        <v>1158</v>
      </c>
      <c r="H600" s="10">
        <f>H601</f>
        <v>0</v>
      </c>
    </row>
    <row r="601" spans="1:8" ht="36" x14ac:dyDescent="0.2">
      <c r="A601" s="56"/>
      <c r="B601" s="50"/>
      <c r="C601" s="14" t="s">
        <v>853</v>
      </c>
      <c r="D601" s="33" t="s">
        <v>1259</v>
      </c>
      <c r="E601" s="10">
        <f>0</f>
        <v>0</v>
      </c>
      <c r="F601" s="10">
        <v>0</v>
      </c>
      <c r="G601" s="10" t="s">
        <v>1158</v>
      </c>
      <c r="H601" s="10">
        <v>0</v>
      </c>
    </row>
    <row r="602" spans="1:8" ht="24" x14ac:dyDescent="0.2">
      <c r="A602" s="56"/>
      <c r="B602" s="50"/>
      <c r="C602" s="11" t="s">
        <v>887</v>
      </c>
      <c r="D602" s="33" t="s">
        <v>1260</v>
      </c>
      <c r="E602" s="10">
        <f>E603</f>
        <v>0</v>
      </c>
      <c r="F602" s="10">
        <f>F603</f>
        <v>0</v>
      </c>
      <c r="G602" s="10" t="s">
        <v>1158</v>
      </c>
      <c r="H602" s="10">
        <f>H603</f>
        <v>0</v>
      </c>
    </row>
    <row r="603" spans="1:8" ht="24" x14ac:dyDescent="0.2">
      <c r="A603" s="56"/>
      <c r="B603" s="50"/>
      <c r="C603" s="14" t="s">
        <v>1261</v>
      </c>
      <c r="D603" s="33" t="s">
        <v>1262</v>
      </c>
      <c r="E603" s="10">
        <f>0</f>
        <v>0</v>
      </c>
      <c r="F603" s="10">
        <f>0</f>
        <v>0</v>
      </c>
      <c r="G603" s="10" t="s">
        <v>1158</v>
      </c>
      <c r="H603" s="10">
        <f>0</f>
        <v>0</v>
      </c>
    </row>
    <row r="604" spans="1:8" ht="36" x14ac:dyDescent="0.2">
      <c r="A604" s="56"/>
      <c r="B604" s="50"/>
      <c r="C604" s="11" t="s">
        <v>889</v>
      </c>
      <c r="D604" s="33" t="s">
        <v>1263</v>
      </c>
      <c r="E604" s="10">
        <f>0</f>
        <v>0</v>
      </c>
      <c r="F604" s="10">
        <f>0</f>
        <v>0</v>
      </c>
      <c r="G604" s="10" t="s">
        <v>1158</v>
      </c>
      <c r="H604" s="10">
        <f>0</f>
        <v>0</v>
      </c>
    </row>
    <row r="605" spans="1:8" ht="21" customHeight="1" x14ac:dyDescent="0.2">
      <c r="A605" s="56"/>
      <c r="B605" s="50"/>
      <c r="C605" s="60" t="s">
        <v>13</v>
      </c>
      <c r="D605" s="70"/>
      <c r="E605" s="21">
        <f>E526+E531+E535+E551+E566+E570</f>
        <v>371038.16000000003</v>
      </c>
      <c r="F605" s="21">
        <f>F526+F531+F535+F551+F566+F570</f>
        <v>158638.63</v>
      </c>
      <c r="G605" s="75" t="s">
        <v>974</v>
      </c>
      <c r="H605" s="21">
        <f>H526+H531+H535+H551+H566+H570</f>
        <v>158638.63</v>
      </c>
    </row>
    <row r="606" spans="1:8" s="19" customFormat="1" ht="45" customHeight="1" x14ac:dyDescent="0.2">
      <c r="A606" s="47">
        <v>9</v>
      </c>
      <c r="B606" s="47" t="s">
        <v>152</v>
      </c>
      <c r="C606" s="13" t="s">
        <v>9</v>
      </c>
      <c r="D606" s="32" t="s">
        <v>632</v>
      </c>
      <c r="E606" s="17">
        <f>E607+E608+E609+E610+E611+E612+E613+E614+E616+E615+E617+E618</f>
        <v>2894.51</v>
      </c>
      <c r="F606" s="17">
        <f>F607+F608+F609+F610+F611+F612+F614+F613+F615+F616+F617+F618</f>
        <v>649.35</v>
      </c>
      <c r="G606" s="17" t="s">
        <v>1031</v>
      </c>
      <c r="H606" s="17">
        <f>H607+H608+H609+H610+H611+H612+H614+H613+H615+H616+H617+H618</f>
        <v>649.35</v>
      </c>
    </row>
    <row r="607" spans="1:8" ht="36" x14ac:dyDescent="0.2">
      <c r="A607" s="47"/>
      <c r="B607" s="47"/>
      <c r="C607" s="11" t="s">
        <v>14</v>
      </c>
      <c r="D607" s="33" t="s">
        <v>633</v>
      </c>
      <c r="E607" s="10">
        <f>60</f>
        <v>60</v>
      </c>
      <c r="F607" s="10">
        <f>0</f>
        <v>0</v>
      </c>
      <c r="G607" s="10" t="s">
        <v>165</v>
      </c>
      <c r="H607" s="10">
        <f>0</f>
        <v>0</v>
      </c>
    </row>
    <row r="608" spans="1:8" ht="36" x14ac:dyDescent="0.2">
      <c r="A608" s="47"/>
      <c r="B608" s="47"/>
      <c r="C608" s="11" t="s">
        <v>15</v>
      </c>
      <c r="D608" s="33" t="s">
        <v>634</v>
      </c>
      <c r="E608" s="10">
        <f>60</f>
        <v>60</v>
      </c>
      <c r="F608" s="10">
        <f>0</f>
        <v>0</v>
      </c>
      <c r="G608" s="10" t="s">
        <v>165</v>
      </c>
      <c r="H608" s="10">
        <f>0</f>
        <v>0</v>
      </c>
    </row>
    <row r="609" spans="1:8" ht="36" x14ac:dyDescent="0.2">
      <c r="A609" s="47"/>
      <c r="B609" s="47"/>
      <c r="C609" s="11" t="s">
        <v>17</v>
      </c>
      <c r="D609" s="33" t="s">
        <v>635</v>
      </c>
      <c r="E609" s="10">
        <f>30</f>
        <v>30</v>
      </c>
      <c r="F609" s="10">
        <f>0</f>
        <v>0</v>
      </c>
      <c r="G609" s="10" t="s">
        <v>165</v>
      </c>
      <c r="H609" s="10">
        <f>0</f>
        <v>0</v>
      </c>
    </row>
    <row r="610" spans="1:8" ht="36" x14ac:dyDescent="0.2">
      <c r="A610" s="47"/>
      <c r="B610" s="47"/>
      <c r="C610" s="11" t="s">
        <v>98</v>
      </c>
      <c r="D610" s="33" t="s">
        <v>636</v>
      </c>
      <c r="E610" s="10">
        <f>10</f>
        <v>10</v>
      </c>
      <c r="F610" s="10">
        <f>0</f>
        <v>0</v>
      </c>
      <c r="G610" s="10" t="s">
        <v>165</v>
      </c>
      <c r="H610" s="10">
        <f>0</f>
        <v>0</v>
      </c>
    </row>
    <row r="611" spans="1:8" ht="36" x14ac:dyDescent="0.2">
      <c r="A611" s="47"/>
      <c r="B611" s="47"/>
      <c r="C611" s="11" t="s">
        <v>190</v>
      </c>
      <c r="D611" s="33" t="s">
        <v>637</v>
      </c>
      <c r="E611" s="10">
        <f>10</f>
        <v>10</v>
      </c>
      <c r="F611" s="10">
        <f>0</f>
        <v>0</v>
      </c>
      <c r="G611" s="10" t="s">
        <v>165</v>
      </c>
      <c r="H611" s="10">
        <f>0</f>
        <v>0</v>
      </c>
    </row>
    <row r="612" spans="1:8" ht="36" x14ac:dyDescent="0.2">
      <c r="A612" s="47"/>
      <c r="B612" s="47"/>
      <c r="C612" s="11" t="s">
        <v>192</v>
      </c>
      <c r="D612" s="33" t="s">
        <v>638</v>
      </c>
      <c r="E612" s="10">
        <f>10</f>
        <v>10</v>
      </c>
      <c r="F612" s="10">
        <f>0</f>
        <v>0</v>
      </c>
      <c r="G612" s="10" t="s">
        <v>165</v>
      </c>
      <c r="H612" s="10">
        <f>0</f>
        <v>0</v>
      </c>
    </row>
    <row r="613" spans="1:8" ht="36" x14ac:dyDescent="0.2">
      <c r="A613" s="47"/>
      <c r="B613" s="47"/>
      <c r="C613" s="11" t="s">
        <v>194</v>
      </c>
      <c r="D613" s="33" t="s">
        <v>639</v>
      </c>
      <c r="E613" s="10">
        <f>20</f>
        <v>20</v>
      </c>
      <c r="F613" s="10">
        <f>0</f>
        <v>0</v>
      </c>
      <c r="G613" s="10" t="s">
        <v>165</v>
      </c>
      <c r="H613" s="10">
        <f>0</f>
        <v>0</v>
      </c>
    </row>
    <row r="614" spans="1:8" ht="36" x14ac:dyDescent="0.2">
      <c r="A614" s="47"/>
      <c r="B614" s="47"/>
      <c r="C614" s="11" t="s">
        <v>104</v>
      </c>
      <c r="D614" s="33" t="s">
        <v>640</v>
      </c>
      <c r="E614" s="10">
        <f>100</f>
        <v>100</v>
      </c>
      <c r="F614" s="10">
        <f>0</f>
        <v>0</v>
      </c>
      <c r="G614" s="10" t="s">
        <v>165</v>
      </c>
      <c r="H614" s="10">
        <f>0</f>
        <v>0</v>
      </c>
    </row>
    <row r="615" spans="1:8" ht="24" x14ac:dyDescent="0.2">
      <c r="A615" s="47"/>
      <c r="B615" s="47"/>
      <c r="C615" s="11" t="s">
        <v>205</v>
      </c>
      <c r="D615" s="33" t="s">
        <v>641</v>
      </c>
      <c r="E615" s="10">
        <f>0</f>
        <v>0</v>
      </c>
      <c r="F615" s="10">
        <f>0</f>
        <v>0</v>
      </c>
      <c r="G615" s="10" t="s">
        <v>1158</v>
      </c>
      <c r="H615" s="10">
        <f>0</f>
        <v>0</v>
      </c>
    </row>
    <row r="616" spans="1:8" ht="36" x14ac:dyDescent="0.2">
      <c r="A616" s="47"/>
      <c r="B616" s="47"/>
      <c r="C616" s="11" t="s">
        <v>207</v>
      </c>
      <c r="D616" s="33" t="s">
        <v>642</v>
      </c>
      <c r="E616" s="10">
        <f>644</f>
        <v>644</v>
      </c>
      <c r="F616" s="10">
        <f>167.9</f>
        <v>167.9</v>
      </c>
      <c r="G616" s="10" t="s">
        <v>995</v>
      </c>
      <c r="H616" s="10">
        <f>167.9</f>
        <v>167.9</v>
      </c>
    </row>
    <row r="617" spans="1:8" ht="48" x14ac:dyDescent="0.2">
      <c r="A617" s="47"/>
      <c r="B617" s="47"/>
      <c r="C617" s="11" t="s">
        <v>112</v>
      </c>
      <c r="D617" s="33" t="s">
        <v>643</v>
      </c>
      <c r="E617" s="10">
        <f>1950.51</f>
        <v>1950.51</v>
      </c>
      <c r="F617" s="10">
        <f>481.45</f>
        <v>481.45</v>
      </c>
      <c r="G617" s="10" t="s">
        <v>1037</v>
      </c>
      <c r="H617" s="10">
        <f>481.45</f>
        <v>481.45</v>
      </c>
    </row>
    <row r="618" spans="1:8" ht="36" x14ac:dyDescent="0.2">
      <c r="A618" s="47"/>
      <c r="B618" s="47"/>
      <c r="C618" s="11" t="s">
        <v>120</v>
      </c>
      <c r="D618" s="33" t="s">
        <v>644</v>
      </c>
      <c r="E618" s="10">
        <f>0</f>
        <v>0</v>
      </c>
      <c r="F618" s="10">
        <f>0</f>
        <v>0</v>
      </c>
      <c r="G618" s="10" t="s">
        <v>1158</v>
      </c>
      <c r="H618" s="10">
        <f>0</f>
        <v>0</v>
      </c>
    </row>
    <row r="619" spans="1:8" ht="24" customHeight="1" x14ac:dyDescent="0.2">
      <c r="A619" s="47"/>
      <c r="B619" s="47"/>
      <c r="C619" s="59" t="s">
        <v>13</v>
      </c>
      <c r="D619" s="68"/>
      <c r="E619" s="21">
        <f>E606</f>
        <v>2894.51</v>
      </c>
      <c r="F619" s="21">
        <f>F606</f>
        <v>649.35</v>
      </c>
      <c r="G619" s="75" t="s">
        <v>1170</v>
      </c>
      <c r="H619" s="21">
        <f>H606</f>
        <v>649.35</v>
      </c>
    </row>
    <row r="620" spans="1:8" s="28" customFormat="1" ht="36" x14ac:dyDescent="0.2">
      <c r="A620" s="47">
        <v>10</v>
      </c>
      <c r="B620" s="47" t="s">
        <v>153</v>
      </c>
      <c r="C620" s="13" t="s">
        <v>9</v>
      </c>
      <c r="D620" s="32" t="s">
        <v>645</v>
      </c>
      <c r="E620" s="17">
        <f>E621+E637+E643</f>
        <v>163135.85</v>
      </c>
      <c r="F620" s="17">
        <f>F621+F637+F643</f>
        <v>455.6</v>
      </c>
      <c r="G620" s="17" t="s">
        <v>1122</v>
      </c>
      <c r="H620" s="17">
        <f>H621+H637+H643</f>
        <v>455.6</v>
      </c>
    </row>
    <row r="621" spans="1:8" ht="36" x14ac:dyDescent="0.2">
      <c r="A621" s="47"/>
      <c r="B621" s="47"/>
      <c r="C621" s="11" t="s">
        <v>178</v>
      </c>
      <c r="D621" s="33" t="s">
        <v>646</v>
      </c>
      <c r="E621" s="10">
        <f>E622+E628+E629+E630+E631+E632+E635+E636</f>
        <v>107091.6</v>
      </c>
      <c r="F621" s="10">
        <f>F622+F628+F629+F630+F631+F632+F635+F636</f>
        <v>455.6</v>
      </c>
      <c r="G621" s="10" t="s">
        <v>1123</v>
      </c>
      <c r="H621" s="10">
        <f>H622+H628+H629+H630+H631+H632+H635+H636</f>
        <v>455.6</v>
      </c>
    </row>
    <row r="622" spans="1:8" ht="36" x14ac:dyDescent="0.2">
      <c r="A622" s="47"/>
      <c r="B622" s="47"/>
      <c r="C622" s="14" t="s">
        <v>14</v>
      </c>
      <c r="D622" s="33" t="s">
        <v>647</v>
      </c>
      <c r="E622" s="10">
        <f>E623+E624+E625+E626+E627</f>
        <v>66641.600000000006</v>
      </c>
      <c r="F622" s="10">
        <f>F623+F624+F625+F626+F627</f>
        <v>371.6</v>
      </c>
      <c r="G622" s="10" t="s">
        <v>1124</v>
      </c>
      <c r="H622" s="10">
        <f>H623+H624+H625+H626+H627</f>
        <v>371.6</v>
      </c>
    </row>
    <row r="623" spans="1:8" ht="36" x14ac:dyDescent="0.2">
      <c r="A623" s="47"/>
      <c r="B623" s="47"/>
      <c r="C623" s="14" t="s">
        <v>133</v>
      </c>
      <c r="D623" s="33" t="s">
        <v>648</v>
      </c>
      <c r="E623" s="10">
        <f>371.6</f>
        <v>371.6</v>
      </c>
      <c r="F623" s="10">
        <f>371.6</f>
        <v>371.6</v>
      </c>
      <c r="G623" s="10" t="s">
        <v>175</v>
      </c>
      <c r="H623" s="10">
        <f>371.6</f>
        <v>371.6</v>
      </c>
    </row>
    <row r="624" spans="1:8" ht="36" x14ac:dyDescent="0.2">
      <c r="A624" s="47"/>
      <c r="B624" s="47"/>
      <c r="C624" s="14" t="s">
        <v>135</v>
      </c>
      <c r="D624" s="33" t="s">
        <v>649</v>
      </c>
      <c r="E624" s="10">
        <f>3880</f>
        <v>3880</v>
      </c>
      <c r="F624" s="10">
        <f>0</f>
        <v>0</v>
      </c>
      <c r="G624" s="10" t="s">
        <v>165</v>
      </c>
      <c r="H624" s="10">
        <f>0</f>
        <v>0</v>
      </c>
    </row>
    <row r="625" spans="1:8" ht="36" x14ac:dyDescent="0.2">
      <c r="A625" s="47"/>
      <c r="B625" s="47"/>
      <c r="C625" s="14" t="s">
        <v>137</v>
      </c>
      <c r="D625" s="33" t="s">
        <v>650</v>
      </c>
      <c r="E625" s="10">
        <f>50000</f>
        <v>50000</v>
      </c>
      <c r="F625" s="10">
        <f>0</f>
        <v>0</v>
      </c>
      <c r="G625" s="10" t="s">
        <v>165</v>
      </c>
      <c r="H625" s="10">
        <f>0</f>
        <v>0</v>
      </c>
    </row>
    <row r="626" spans="1:8" ht="36" x14ac:dyDescent="0.2">
      <c r="A626" s="47"/>
      <c r="B626" s="47"/>
      <c r="C626" s="14" t="s">
        <v>651</v>
      </c>
      <c r="D626" s="33" t="s">
        <v>652</v>
      </c>
      <c r="E626" s="10">
        <f>390</f>
        <v>390</v>
      </c>
      <c r="F626" s="10">
        <f>0</f>
        <v>0</v>
      </c>
      <c r="G626" s="10" t="s">
        <v>165</v>
      </c>
      <c r="H626" s="10">
        <f>0</f>
        <v>0</v>
      </c>
    </row>
    <row r="627" spans="1:8" ht="36" x14ac:dyDescent="0.2">
      <c r="A627" s="47"/>
      <c r="B627" s="47"/>
      <c r="C627" s="14" t="s">
        <v>653</v>
      </c>
      <c r="D627" s="33" t="s">
        <v>654</v>
      </c>
      <c r="E627" s="10">
        <f>12000</f>
        <v>12000</v>
      </c>
      <c r="F627" s="10">
        <f>0</f>
        <v>0</v>
      </c>
      <c r="G627" s="10" t="s">
        <v>165</v>
      </c>
      <c r="H627" s="10">
        <f>0</f>
        <v>0</v>
      </c>
    </row>
    <row r="628" spans="1:8" ht="24" x14ac:dyDescent="0.2">
      <c r="A628" s="47"/>
      <c r="B628" s="47"/>
      <c r="C628" s="14" t="s">
        <v>15</v>
      </c>
      <c r="D628" s="33" t="s">
        <v>655</v>
      </c>
      <c r="E628" s="10">
        <f>0</f>
        <v>0</v>
      </c>
      <c r="F628" s="10">
        <f>0</f>
        <v>0</v>
      </c>
      <c r="G628" s="10" t="s">
        <v>1158</v>
      </c>
      <c r="H628" s="10">
        <f>0</f>
        <v>0</v>
      </c>
    </row>
    <row r="629" spans="1:8" ht="24" x14ac:dyDescent="0.2">
      <c r="A629" s="47"/>
      <c r="B629" s="47"/>
      <c r="C629" s="14" t="s">
        <v>17</v>
      </c>
      <c r="D629" s="33" t="s">
        <v>656</v>
      </c>
      <c r="E629" s="10">
        <f>0</f>
        <v>0</v>
      </c>
      <c r="F629" s="10">
        <f>0</f>
        <v>0</v>
      </c>
      <c r="G629" s="10" t="s">
        <v>1158</v>
      </c>
      <c r="H629" s="10">
        <f>0</f>
        <v>0</v>
      </c>
    </row>
    <row r="630" spans="1:8" ht="24" x14ac:dyDescent="0.2">
      <c r="A630" s="47"/>
      <c r="B630" s="47"/>
      <c r="C630" s="14" t="s">
        <v>19</v>
      </c>
      <c r="D630" s="33" t="s">
        <v>657</v>
      </c>
      <c r="E630" s="10">
        <f>0</f>
        <v>0</v>
      </c>
      <c r="F630" s="10">
        <f>0</f>
        <v>0</v>
      </c>
      <c r="G630" s="10" t="s">
        <v>1158</v>
      </c>
      <c r="H630" s="10">
        <f>0</f>
        <v>0</v>
      </c>
    </row>
    <row r="631" spans="1:8" ht="24" x14ac:dyDescent="0.2">
      <c r="A631" s="47"/>
      <c r="B631" s="47"/>
      <c r="C631" s="14" t="s">
        <v>21</v>
      </c>
      <c r="D631" s="33" t="s">
        <v>658</v>
      </c>
      <c r="E631" s="10">
        <f>0</f>
        <v>0</v>
      </c>
      <c r="F631" s="10">
        <f>0</f>
        <v>0</v>
      </c>
      <c r="G631" s="10" t="s">
        <v>1158</v>
      </c>
      <c r="H631" s="10">
        <f>0</f>
        <v>0</v>
      </c>
    </row>
    <row r="632" spans="1:8" ht="36" x14ac:dyDescent="0.2">
      <c r="A632" s="47"/>
      <c r="B632" s="47"/>
      <c r="C632" s="14" t="s">
        <v>23</v>
      </c>
      <c r="D632" s="33" t="s">
        <v>659</v>
      </c>
      <c r="E632" s="10">
        <f>E633+E634</f>
        <v>39000</v>
      </c>
      <c r="F632" s="10">
        <f>F633+F634</f>
        <v>84</v>
      </c>
      <c r="G632" s="10" t="s">
        <v>165</v>
      </c>
      <c r="H632" s="10">
        <f>H633+H634</f>
        <v>84</v>
      </c>
    </row>
    <row r="633" spans="1:8" ht="36" x14ac:dyDescent="0.2">
      <c r="A633" s="47"/>
      <c r="B633" s="47"/>
      <c r="C633" s="14" t="s">
        <v>75</v>
      </c>
      <c r="D633" s="33" t="s">
        <v>660</v>
      </c>
      <c r="E633" s="10">
        <f>38200</f>
        <v>38200</v>
      </c>
      <c r="F633" s="10">
        <v>84</v>
      </c>
      <c r="G633" s="10" t="s">
        <v>1171</v>
      </c>
      <c r="H633" s="10">
        <v>84</v>
      </c>
    </row>
    <row r="634" spans="1:8" ht="36" x14ac:dyDescent="0.2">
      <c r="A634" s="47"/>
      <c r="B634" s="47"/>
      <c r="C634" s="14" t="s">
        <v>77</v>
      </c>
      <c r="D634" s="33" t="s">
        <v>661</v>
      </c>
      <c r="E634" s="10">
        <f>800</f>
        <v>800</v>
      </c>
      <c r="F634" s="10">
        <f>0</f>
        <v>0</v>
      </c>
      <c r="G634" s="10" t="s">
        <v>165</v>
      </c>
      <c r="H634" s="10">
        <f>0</f>
        <v>0</v>
      </c>
    </row>
    <row r="635" spans="1:8" ht="36" x14ac:dyDescent="0.2">
      <c r="A635" s="47"/>
      <c r="B635" s="47"/>
      <c r="C635" s="14" t="s">
        <v>25</v>
      </c>
      <c r="D635" s="33" t="s">
        <v>662</v>
      </c>
      <c r="E635" s="10">
        <f>450</f>
        <v>450</v>
      </c>
      <c r="F635" s="10">
        <f>0</f>
        <v>0</v>
      </c>
      <c r="G635" s="10" t="s">
        <v>165</v>
      </c>
      <c r="H635" s="10">
        <f>0</f>
        <v>0</v>
      </c>
    </row>
    <row r="636" spans="1:8" ht="36" x14ac:dyDescent="0.2">
      <c r="A636" s="47"/>
      <c r="B636" s="47"/>
      <c r="C636" s="14" t="s">
        <v>27</v>
      </c>
      <c r="D636" s="33" t="s">
        <v>663</v>
      </c>
      <c r="E636" s="10">
        <f>1000</f>
        <v>1000</v>
      </c>
      <c r="F636" s="10">
        <f>0</f>
        <v>0</v>
      </c>
      <c r="G636" s="10" t="s">
        <v>165</v>
      </c>
      <c r="H636" s="10">
        <f>0</f>
        <v>0</v>
      </c>
    </row>
    <row r="637" spans="1:8" ht="36" x14ac:dyDescent="0.2">
      <c r="A637" s="47"/>
      <c r="B637" s="47"/>
      <c r="C637" s="11" t="s">
        <v>187</v>
      </c>
      <c r="D637" s="33" t="s">
        <v>664</v>
      </c>
      <c r="E637" s="10">
        <f>E638+E639+E640+E641+E642</f>
        <v>36044.25</v>
      </c>
      <c r="F637" s="10">
        <f>F638+F639+F640+F641+F642</f>
        <v>0</v>
      </c>
      <c r="G637" s="10" t="s">
        <v>165</v>
      </c>
      <c r="H637" s="10">
        <f>H638+H639+H640+H641+H642</f>
        <v>0</v>
      </c>
    </row>
    <row r="638" spans="1:8" ht="36" x14ac:dyDescent="0.2">
      <c r="A638" s="47"/>
      <c r="B638" s="47"/>
      <c r="C638" s="14" t="s">
        <v>98</v>
      </c>
      <c r="D638" s="33" t="s">
        <v>665</v>
      </c>
      <c r="E638" s="10">
        <f>3250</f>
        <v>3250</v>
      </c>
      <c r="F638" s="10">
        <f>0</f>
        <v>0</v>
      </c>
      <c r="G638" s="10" t="s">
        <v>165</v>
      </c>
      <c r="H638" s="10">
        <f>0</f>
        <v>0</v>
      </c>
    </row>
    <row r="639" spans="1:8" ht="24" x14ac:dyDescent="0.2">
      <c r="A639" s="47"/>
      <c r="B639" s="47"/>
      <c r="C639" s="14" t="s">
        <v>190</v>
      </c>
      <c r="D639" s="33" t="s">
        <v>666</v>
      </c>
      <c r="E639" s="10">
        <f>0</f>
        <v>0</v>
      </c>
      <c r="F639" s="10">
        <f>0</f>
        <v>0</v>
      </c>
      <c r="G639" s="10" t="s">
        <v>1158</v>
      </c>
      <c r="H639" s="10">
        <f>0</f>
        <v>0</v>
      </c>
    </row>
    <row r="640" spans="1:8" ht="24" x14ac:dyDescent="0.2">
      <c r="A640" s="47"/>
      <c r="B640" s="47"/>
      <c r="C640" s="14" t="s">
        <v>192</v>
      </c>
      <c r="D640" s="33" t="s">
        <v>667</v>
      </c>
      <c r="E640" s="10">
        <f>0</f>
        <v>0</v>
      </c>
      <c r="F640" s="10">
        <f>0</f>
        <v>0</v>
      </c>
      <c r="G640" s="10" t="s">
        <v>1158</v>
      </c>
      <c r="H640" s="10">
        <f>0</f>
        <v>0</v>
      </c>
    </row>
    <row r="641" spans="1:8" ht="48" x14ac:dyDescent="0.2">
      <c r="A641" s="47"/>
      <c r="B641" s="47"/>
      <c r="C641" s="14" t="s">
        <v>194</v>
      </c>
      <c r="D641" s="33" t="s">
        <v>668</v>
      </c>
      <c r="E641" s="10">
        <f>0</f>
        <v>0</v>
      </c>
      <c r="F641" s="10">
        <f>0</f>
        <v>0</v>
      </c>
      <c r="G641" s="10" t="s">
        <v>1158</v>
      </c>
      <c r="H641" s="10">
        <f>0</f>
        <v>0</v>
      </c>
    </row>
    <row r="642" spans="1:8" ht="36" x14ac:dyDescent="0.2">
      <c r="A642" s="47"/>
      <c r="B642" s="47"/>
      <c r="C642" s="14" t="s">
        <v>196</v>
      </c>
      <c r="D642" s="33" t="s">
        <v>664</v>
      </c>
      <c r="E642" s="10">
        <f>32794.25</f>
        <v>32794.25</v>
      </c>
      <c r="F642" s="10">
        <f>0</f>
        <v>0</v>
      </c>
      <c r="G642" s="10" t="s">
        <v>165</v>
      </c>
      <c r="H642" s="10">
        <f>0</f>
        <v>0</v>
      </c>
    </row>
    <row r="643" spans="1:8" ht="36" x14ac:dyDescent="0.2">
      <c r="A643" s="47"/>
      <c r="B643" s="47"/>
      <c r="C643" s="11" t="s">
        <v>202</v>
      </c>
      <c r="D643" s="33" t="s">
        <v>669</v>
      </c>
      <c r="E643" s="10">
        <f>E644+E645</f>
        <v>20000</v>
      </c>
      <c r="F643" s="10">
        <f>F644+F645</f>
        <v>0</v>
      </c>
      <c r="G643" s="10" t="s">
        <v>165</v>
      </c>
      <c r="H643" s="10">
        <f>H644+H645</f>
        <v>0</v>
      </c>
    </row>
    <row r="644" spans="1:8" ht="36" x14ac:dyDescent="0.2">
      <c r="A644" s="47"/>
      <c r="B644" s="47"/>
      <c r="C644" s="14" t="s">
        <v>104</v>
      </c>
      <c r="D644" s="33" t="s">
        <v>670</v>
      </c>
      <c r="E644" s="10">
        <f>10000+10000</f>
        <v>20000</v>
      </c>
      <c r="F644" s="10">
        <f>0</f>
        <v>0</v>
      </c>
      <c r="G644" s="10" t="s">
        <v>165</v>
      </c>
      <c r="H644" s="10">
        <f>0</f>
        <v>0</v>
      </c>
    </row>
    <row r="645" spans="1:8" ht="24" x14ac:dyDescent="0.2">
      <c r="A645" s="47"/>
      <c r="B645" s="47"/>
      <c r="C645" s="14" t="s">
        <v>205</v>
      </c>
      <c r="D645" s="33" t="s">
        <v>671</v>
      </c>
      <c r="E645" s="10">
        <f>0</f>
        <v>0</v>
      </c>
      <c r="F645" s="10">
        <f>0</f>
        <v>0</v>
      </c>
      <c r="G645" s="10" t="s">
        <v>1158</v>
      </c>
      <c r="H645" s="10">
        <f>0</f>
        <v>0</v>
      </c>
    </row>
    <row r="646" spans="1:8" s="19" customFormat="1" ht="36" x14ac:dyDescent="0.2">
      <c r="A646" s="47"/>
      <c r="B646" s="47"/>
      <c r="C646" s="13" t="s">
        <v>10</v>
      </c>
      <c r="D646" s="32" t="s">
        <v>672</v>
      </c>
      <c r="E646" s="17">
        <f>E647+E662+E667</f>
        <v>141570.06</v>
      </c>
      <c r="F646" s="17">
        <f>F647+F662+F667</f>
        <v>41161.550000000003</v>
      </c>
      <c r="G646" s="17" t="s">
        <v>1058</v>
      </c>
      <c r="H646" s="17">
        <f>H647+H662+H667</f>
        <v>41161.550000000003</v>
      </c>
    </row>
    <row r="647" spans="1:8" ht="36" x14ac:dyDescent="0.2">
      <c r="A647" s="47"/>
      <c r="B647" s="47"/>
      <c r="C647" s="11" t="s">
        <v>178</v>
      </c>
      <c r="D647" s="33" t="s">
        <v>673</v>
      </c>
      <c r="E647" s="10">
        <f>E648+E649+E650+E651+E652+E653+E659+E660+E661</f>
        <v>88370.840000000011</v>
      </c>
      <c r="F647" s="10">
        <f>F648+F649+F650+F651+F652+F653+F659+F660+F661</f>
        <v>33795.89</v>
      </c>
      <c r="G647" s="10" t="s">
        <v>1125</v>
      </c>
      <c r="H647" s="10">
        <f>H648+H649+H650+H651+H652+H653+H659+H660+H661</f>
        <v>33795.89</v>
      </c>
    </row>
    <row r="648" spans="1:8" ht="24" x14ac:dyDescent="0.2">
      <c r="A648" s="47"/>
      <c r="B648" s="47"/>
      <c r="C648" s="14" t="s">
        <v>14</v>
      </c>
      <c r="D648" s="33" t="s">
        <v>674</v>
      </c>
      <c r="E648" s="10">
        <f>0</f>
        <v>0</v>
      </c>
      <c r="F648" s="10">
        <f>0</f>
        <v>0</v>
      </c>
      <c r="G648" s="10" t="s">
        <v>1158</v>
      </c>
      <c r="H648" s="10">
        <f>0</f>
        <v>0</v>
      </c>
    </row>
    <row r="649" spans="1:8" ht="36" x14ac:dyDescent="0.2">
      <c r="A649" s="47"/>
      <c r="B649" s="47"/>
      <c r="C649" s="14" t="s">
        <v>15</v>
      </c>
      <c r="D649" s="33" t="s">
        <v>675</v>
      </c>
      <c r="E649" s="10">
        <f>6895</f>
        <v>6895</v>
      </c>
      <c r="F649" s="10">
        <f>2448.8</f>
        <v>2448.8000000000002</v>
      </c>
      <c r="G649" s="10" t="s">
        <v>1126</v>
      </c>
      <c r="H649" s="10">
        <f>2448.8</f>
        <v>2448.8000000000002</v>
      </c>
    </row>
    <row r="650" spans="1:8" ht="24" x14ac:dyDescent="0.2">
      <c r="A650" s="47"/>
      <c r="B650" s="47"/>
      <c r="C650" s="14" t="s">
        <v>17</v>
      </c>
      <c r="D650" s="33" t="s">
        <v>676</v>
      </c>
      <c r="E650" s="10">
        <f>0</f>
        <v>0</v>
      </c>
      <c r="F650" s="10">
        <f>0</f>
        <v>0</v>
      </c>
      <c r="G650" s="10" t="s">
        <v>1158</v>
      </c>
      <c r="H650" s="10">
        <f>0</f>
        <v>0</v>
      </c>
    </row>
    <row r="651" spans="1:8" ht="36" x14ac:dyDescent="0.2">
      <c r="A651" s="47"/>
      <c r="B651" s="47"/>
      <c r="C651" s="14" t="s">
        <v>19</v>
      </c>
      <c r="D651" s="33" t="s">
        <v>677</v>
      </c>
      <c r="E651" s="10">
        <f>500</f>
        <v>500</v>
      </c>
      <c r="F651" s="10">
        <f>0</f>
        <v>0</v>
      </c>
      <c r="G651" s="10" t="s">
        <v>165</v>
      </c>
      <c r="H651" s="10">
        <f>0</f>
        <v>0</v>
      </c>
    </row>
    <row r="652" spans="1:8" ht="24" x14ac:dyDescent="0.2">
      <c r="A652" s="47"/>
      <c r="B652" s="47"/>
      <c r="C652" s="14" t="s">
        <v>21</v>
      </c>
      <c r="D652" s="33" t="s">
        <v>678</v>
      </c>
      <c r="E652" s="10">
        <f>0</f>
        <v>0</v>
      </c>
      <c r="F652" s="10">
        <f>0</f>
        <v>0</v>
      </c>
      <c r="G652" s="10" t="s">
        <v>1158</v>
      </c>
      <c r="H652" s="10">
        <f>0</f>
        <v>0</v>
      </c>
    </row>
    <row r="653" spans="1:8" ht="36" x14ac:dyDescent="0.2">
      <c r="A653" s="47"/>
      <c r="B653" s="47"/>
      <c r="C653" s="14" t="s">
        <v>23</v>
      </c>
      <c r="D653" s="33" t="s">
        <v>679</v>
      </c>
      <c r="E653" s="10">
        <f>E654+E655+E656+E657+E658</f>
        <v>80975.840000000011</v>
      </c>
      <c r="F653" s="10">
        <f>F654+F655+F656+F657+F658</f>
        <v>31347.09</v>
      </c>
      <c r="G653" s="10" t="s">
        <v>1127</v>
      </c>
      <c r="H653" s="10">
        <f>H654+H655+H656+H657+H658</f>
        <v>31347.09</v>
      </c>
    </row>
    <row r="654" spans="1:8" ht="36" x14ac:dyDescent="0.2">
      <c r="A654" s="47"/>
      <c r="B654" s="47"/>
      <c r="C654" s="14" t="s">
        <v>75</v>
      </c>
      <c r="D654" s="33" t="s">
        <v>680</v>
      </c>
      <c r="E654" s="10">
        <f>71429.6</f>
        <v>71429.600000000006</v>
      </c>
      <c r="F654" s="10">
        <v>31347.09</v>
      </c>
      <c r="G654" s="10" t="s">
        <v>1128</v>
      </c>
      <c r="H654" s="10">
        <v>31347.09</v>
      </c>
    </row>
    <row r="655" spans="1:8" ht="36" x14ac:dyDescent="0.2">
      <c r="A655" s="47"/>
      <c r="B655" s="47"/>
      <c r="C655" s="14" t="s">
        <v>77</v>
      </c>
      <c r="D655" s="33" t="s">
        <v>681</v>
      </c>
      <c r="E655" s="10">
        <f>5700</f>
        <v>5700</v>
      </c>
      <c r="F655" s="10">
        <f>0</f>
        <v>0</v>
      </c>
      <c r="G655" s="10" t="s">
        <v>165</v>
      </c>
      <c r="H655" s="10">
        <f>0</f>
        <v>0</v>
      </c>
    </row>
    <row r="656" spans="1:8" ht="24" x14ac:dyDescent="0.2">
      <c r="A656" s="47"/>
      <c r="B656" s="47"/>
      <c r="C656" s="14" t="s">
        <v>79</v>
      </c>
      <c r="D656" s="33" t="s">
        <v>682</v>
      </c>
      <c r="E656" s="10">
        <f>0</f>
        <v>0</v>
      </c>
      <c r="F656" s="10">
        <f>0</f>
        <v>0</v>
      </c>
      <c r="G656" s="10" t="s">
        <v>1158</v>
      </c>
      <c r="H656" s="10">
        <f>0</f>
        <v>0</v>
      </c>
    </row>
    <row r="657" spans="1:8" ht="36" x14ac:dyDescent="0.2">
      <c r="A657" s="47"/>
      <c r="B657" s="47"/>
      <c r="C657" s="14" t="s">
        <v>81</v>
      </c>
      <c r="D657" s="33" t="s">
        <v>683</v>
      </c>
      <c r="E657" s="10">
        <f>0</f>
        <v>0</v>
      </c>
      <c r="F657" s="10">
        <f>0</f>
        <v>0</v>
      </c>
      <c r="G657" s="10" t="s">
        <v>1158</v>
      </c>
      <c r="H657" s="10">
        <f>0</f>
        <v>0</v>
      </c>
    </row>
    <row r="658" spans="1:8" ht="36" x14ac:dyDescent="0.2">
      <c r="A658" s="47"/>
      <c r="B658" s="47"/>
      <c r="C658" s="14" t="s">
        <v>684</v>
      </c>
      <c r="D658" s="33" t="s">
        <v>685</v>
      </c>
      <c r="E658" s="10">
        <f>3846.24</f>
        <v>3846.24</v>
      </c>
      <c r="F658" s="10">
        <f>0</f>
        <v>0</v>
      </c>
      <c r="G658" s="10" t="s">
        <v>165</v>
      </c>
      <c r="H658" s="10">
        <f>0</f>
        <v>0</v>
      </c>
    </row>
    <row r="659" spans="1:8" ht="36" x14ac:dyDescent="0.2">
      <c r="A659" s="47"/>
      <c r="B659" s="47"/>
      <c r="C659" s="14" t="s">
        <v>25</v>
      </c>
      <c r="D659" s="33" t="s">
        <v>686</v>
      </c>
      <c r="E659" s="10">
        <f>0</f>
        <v>0</v>
      </c>
      <c r="F659" s="10">
        <f>0</f>
        <v>0</v>
      </c>
      <c r="G659" s="10" t="s">
        <v>1158</v>
      </c>
      <c r="H659" s="10">
        <f>0</f>
        <v>0</v>
      </c>
    </row>
    <row r="660" spans="1:8" ht="24" x14ac:dyDescent="0.2">
      <c r="A660" s="47"/>
      <c r="B660" s="47"/>
      <c r="C660" s="14" t="s">
        <v>27</v>
      </c>
      <c r="D660" s="33" t="s">
        <v>687</v>
      </c>
      <c r="E660" s="10">
        <f>0</f>
        <v>0</v>
      </c>
      <c r="F660" s="10">
        <f>0</f>
        <v>0</v>
      </c>
      <c r="G660" s="10" t="s">
        <v>1158</v>
      </c>
      <c r="H660" s="10">
        <f>0</f>
        <v>0</v>
      </c>
    </row>
    <row r="661" spans="1:8" ht="48" x14ac:dyDescent="0.2">
      <c r="A661" s="47"/>
      <c r="B661" s="47"/>
      <c r="C661" s="14" t="s">
        <v>29</v>
      </c>
      <c r="D661" s="33" t="s">
        <v>688</v>
      </c>
      <c r="E661" s="10">
        <f>0</f>
        <v>0</v>
      </c>
      <c r="F661" s="10">
        <f>0</f>
        <v>0</v>
      </c>
      <c r="G661" s="10" t="s">
        <v>168</v>
      </c>
      <c r="H661" s="10">
        <f>0</f>
        <v>0</v>
      </c>
    </row>
    <row r="662" spans="1:8" ht="36" x14ac:dyDescent="0.2">
      <c r="A662" s="47"/>
      <c r="B662" s="47"/>
      <c r="C662" s="11" t="s">
        <v>187</v>
      </c>
      <c r="D662" s="33" t="s">
        <v>689</v>
      </c>
      <c r="E662" s="10">
        <f>E663+E664+E665+E666</f>
        <v>15000</v>
      </c>
      <c r="F662" s="10">
        <f>F663+F664+F665+F666</f>
        <v>7365.66</v>
      </c>
      <c r="G662" s="10" t="s">
        <v>1129</v>
      </c>
      <c r="H662" s="10">
        <f>H663+H664+H665+H666</f>
        <v>7365.66</v>
      </c>
    </row>
    <row r="663" spans="1:8" ht="36" x14ac:dyDescent="0.2">
      <c r="A663" s="47"/>
      <c r="B663" s="47"/>
      <c r="C663" s="14" t="s">
        <v>98</v>
      </c>
      <c r="D663" s="33" t="s">
        <v>690</v>
      </c>
      <c r="E663" s="10">
        <f>15000</f>
        <v>15000</v>
      </c>
      <c r="F663" s="10">
        <f>7365.66</f>
        <v>7365.66</v>
      </c>
      <c r="G663" s="10" t="s">
        <v>1129</v>
      </c>
      <c r="H663" s="10">
        <f>7365.66</f>
        <v>7365.66</v>
      </c>
    </row>
    <row r="664" spans="1:8" ht="48" x14ac:dyDescent="0.2">
      <c r="A664" s="47"/>
      <c r="B664" s="47"/>
      <c r="C664" s="14" t="s">
        <v>190</v>
      </c>
      <c r="D664" s="33" t="s">
        <v>691</v>
      </c>
      <c r="E664" s="10">
        <f>0</f>
        <v>0</v>
      </c>
      <c r="F664" s="10">
        <f>0</f>
        <v>0</v>
      </c>
      <c r="G664" s="10" t="s">
        <v>1158</v>
      </c>
      <c r="H664" s="10">
        <f>0</f>
        <v>0</v>
      </c>
    </row>
    <row r="665" spans="1:8" ht="36" x14ac:dyDescent="0.2">
      <c r="A665" s="47"/>
      <c r="B665" s="47"/>
      <c r="C665" s="14" t="s">
        <v>192</v>
      </c>
      <c r="D665" s="33" t="s">
        <v>692</v>
      </c>
      <c r="E665" s="10">
        <f>0</f>
        <v>0</v>
      </c>
      <c r="F665" s="10">
        <f>0</f>
        <v>0</v>
      </c>
      <c r="G665" s="10" t="s">
        <v>1158</v>
      </c>
      <c r="H665" s="10">
        <f>0</f>
        <v>0</v>
      </c>
    </row>
    <row r="666" spans="1:8" ht="60" x14ac:dyDescent="0.2">
      <c r="A666" s="47"/>
      <c r="B666" s="47"/>
      <c r="C666" s="14" t="s">
        <v>194</v>
      </c>
      <c r="D666" s="33" t="s">
        <v>693</v>
      </c>
      <c r="E666" s="10">
        <f>0</f>
        <v>0</v>
      </c>
      <c r="F666" s="10">
        <f>0</f>
        <v>0</v>
      </c>
      <c r="G666" s="10" t="s">
        <v>1158</v>
      </c>
      <c r="H666" s="10">
        <f>0</f>
        <v>0</v>
      </c>
    </row>
    <row r="667" spans="1:8" ht="36" x14ac:dyDescent="0.2">
      <c r="A667" s="47"/>
      <c r="B667" s="47"/>
      <c r="C667" s="11" t="s">
        <v>202</v>
      </c>
      <c r="D667" s="33" t="s">
        <v>694</v>
      </c>
      <c r="E667" s="10">
        <f>E668+E669+E670+E671+E672+E673</f>
        <v>38199.219999999994</v>
      </c>
      <c r="F667" s="10">
        <f>F668+F669+F670+F671+F672+F673</f>
        <v>0</v>
      </c>
      <c r="G667" s="10" t="s">
        <v>165</v>
      </c>
      <c r="H667" s="10">
        <f>H668+H669+H670+H671+H672+H673</f>
        <v>0</v>
      </c>
    </row>
    <row r="668" spans="1:8" ht="36" x14ac:dyDescent="0.2">
      <c r="A668" s="47"/>
      <c r="B668" s="47"/>
      <c r="C668" s="14" t="s">
        <v>104</v>
      </c>
      <c r="D668" s="33" t="s">
        <v>695</v>
      </c>
      <c r="E668" s="10">
        <f>0</f>
        <v>0</v>
      </c>
      <c r="F668" s="10">
        <f>0</f>
        <v>0</v>
      </c>
      <c r="G668" s="10" t="s">
        <v>1158</v>
      </c>
      <c r="H668" s="10">
        <f>0</f>
        <v>0</v>
      </c>
    </row>
    <row r="669" spans="1:8" ht="60" x14ac:dyDescent="0.2">
      <c r="A669" s="47"/>
      <c r="B669" s="47"/>
      <c r="C669" s="14" t="s">
        <v>205</v>
      </c>
      <c r="D669" s="33" t="s">
        <v>696</v>
      </c>
      <c r="E669" s="10">
        <f>2749.22+766.41</f>
        <v>3515.6299999999997</v>
      </c>
      <c r="F669" s="10">
        <f>0</f>
        <v>0</v>
      </c>
      <c r="G669" s="10" t="s">
        <v>165</v>
      </c>
      <c r="H669" s="10">
        <f>0</f>
        <v>0</v>
      </c>
    </row>
    <row r="670" spans="1:8" ht="48" x14ac:dyDescent="0.2">
      <c r="A670" s="47"/>
      <c r="B670" s="47"/>
      <c r="C670" s="14" t="s">
        <v>207</v>
      </c>
      <c r="D670" s="33" t="s">
        <v>697</v>
      </c>
      <c r="E670" s="10">
        <f>750</f>
        <v>750</v>
      </c>
      <c r="F670" s="10">
        <f>0</f>
        <v>0</v>
      </c>
      <c r="G670" s="10" t="s">
        <v>165</v>
      </c>
      <c r="H670" s="10">
        <f>0</f>
        <v>0</v>
      </c>
    </row>
    <row r="671" spans="1:8" ht="36" x14ac:dyDescent="0.2">
      <c r="A671" s="47"/>
      <c r="B671" s="47"/>
      <c r="C671" s="14" t="s">
        <v>244</v>
      </c>
      <c r="D671" s="33" t="s">
        <v>698</v>
      </c>
      <c r="E671" s="10">
        <f>12870+130</f>
        <v>13000</v>
      </c>
      <c r="F671" s="10">
        <f>0</f>
        <v>0</v>
      </c>
      <c r="G671" s="10" t="s">
        <v>165</v>
      </c>
      <c r="H671" s="10">
        <f>0</f>
        <v>0</v>
      </c>
    </row>
    <row r="672" spans="1:8" ht="36" x14ac:dyDescent="0.2">
      <c r="A672" s="47"/>
      <c r="B672" s="47"/>
      <c r="C672" s="14" t="s">
        <v>379</v>
      </c>
      <c r="D672" s="33" t="s">
        <v>699</v>
      </c>
      <c r="E672" s="10">
        <f>19305+195</f>
        <v>19500</v>
      </c>
      <c r="F672" s="10">
        <f>0</f>
        <v>0</v>
      </c>
      <c r="G672" s="10" t="s">
        <v>165</v>
      </c>
      <c r="H672" s="10">
        <f>0</f>
        <v>0</v>
      </c>
    </row>
    <row r="673" spans="1:8" ht="48" customHeight="1" x14ac:dyDescent="0.2">
      <c r="A673" s="47"/>
      <c r="B673" s="47"/>
      <c r="C673" s="14" t="s">
        <v>381</v>
      </c>
      <c r="D673" s="33" t="s">
        <v>1121</v>
      </c>
      <c r="E673" s="10">
        <f>1433.59</f>
        <v>1433.59</v>
      </c>
      <c r="F673" s="10">
        <f>0</f>
        <v>0</v>
      </c>
      <c r="G673" s="10" t="s">
        <v>165</v>
      </c>
      <c r="H673" s="10">
        <f>0</f>
        <v>0</v>
      </c>
    </row>
    <row r="674" spans="1:8" s="19" customFormat="1" ht="48" customHeight="1" x14ac:dyDescent="0.2">
      <c r="A674" s="47"/>
      <c r="B674" s="47"/>
      <c r="C674" s="13" t="s">
        <v>11</v>
      </c>
      <c r="D674" s="32" t="s">
        <v>700</v>
      </c>
      <c r="E674" s="17">
        <f>E675</f>
        <v>259696.08000000002</v>
      </c>
      <c r="F674" s="17">
        <f>F675</f>
        <v>12061.27</v>
      </c>
      <c r="G674" s="17" t="s">
        <v>1130</v>
      </c>
      <c r="H674" s="17">
        <f>H675</f>
        <v>12061.27</v>
      </c>
    </row>
    <row r="675" spans="1:8" ht="36" x14ac:dyDescent="0.2">
      <c r="A675" s="47"/>
      <c r="B675" s="47"/>
      <c r="C675" s="11" t="s">
        <v>178</v>
      </c>
      <c r="D675" s="33" t="s">
        <v>701</v>
      </c>
      <c r="E675" s="10">
        <f>E676+E677+E678+E679+E680</f>
        <v>259696.08000000002</v>
      </c>
      <c r="F675" s="10">
        <f>F676+F677+F678+F679+F680</f>
        <v>12061.27</v>
      </c>
      <c r="G675" s="10" t="s">
        <v>1130</v>
      </c>
      <c r="H675" s="10">
        <f>H676+H677+H678+H679+H680</f>
        <v>12061.27</v>
      </c>
    </row>
    <row r="676" spans="1:8" ht="36" x14ac:dyDescent="0.2">
      <c r="A676" s="47"/>
      <c r="B676" s="47"/>
      <c r="C676" s="14" t="s">
        <v>14</v>
      </c>
      <c r="D676" s="33" t="s">
        <v>702</v>
      </c>
      <c r="E676" s="10">
        <f>25000</f>
        <v>25000</v>
      </c>
      <c r="F676" s="10">
        <f>9673.25</f>
        <v>9673.25</v>
      </c>
      <c r="G676" s="10" t="s">
        <v>994</v>
      </c>
      <c r="H676" s="10">
        <f>9673.25</f>
        <v>9673.25</v>
      </c>
    </row>
    <row r="677" spans="1:8" ht="36" x14ac:dyDescent="0.2">
      <c r="A677" s="47"/>
      <c r="B677" s="47"/>
      <c r="C677" s="14" t="s">
        <v>15</v>
      </c>
      <c r="D677" s="33" t="s">
        <v>703</v>
      </c>
      <c r="E677" s="10">
        <f>1750</f>
        <v>1750</v>
      </c>
      <c r="F677" s="10">
        <f>0</f>
        <v>0</v>
      </c>
      <c r="G677" s="10" t="s">
        <v>165</v>
      </c>
      <c r="H677" s="10">
        <f>0</f>
        <v>0</v>
      </c>
    </row>
    <row r="678" spans="1:8" ht="36" x14ac:dyDescent="0.2">
      <c r="A678" s="47"/>
      <c r="B678" s="47"/>
      <c r="C678" s="14" t="s">
        <v>17</v>
      </c>
      <c r="D678" s="33" t="s">
        <v>704</v>
      </c>
      <c r="E678" s="10">
        <f>3523.13+5082.15+4979.52</f>
        <v>13584.8</v>
      </c>
      <c r="F678" s="10">
        <f>520.59+1867.43</f>
        <v>2388.02</v>
      </c>
      <c r="G678" s="10" t="s">
        <v>1000</v>
      </c>
      <c r="H678" s="10">
        <f>520.59+1867.43</f>
        <v>2388.02</v>
      </c>
    </row>
    <row r="679" spans="1:8" ht="36" x14ac:dyDescent="0.2">
      <c r="A679" s="47"/>
      <c r="B679" s="47"/>
      <c r="C679" s="14" t="s">
        <v>19</v>
      </c>
      <c r="D679" s="33" t="s">
        <v>705</v>
      </c>
      <c r="E679" s="10">
        <f>219361.28</f>
        <v>219361.28</v>
      </c>
      <c r="F679" s="10">
        <f>0</f>
        <v>0</v>
      </c>
      <c r="G679" s="10" t="s">
        <v>165</v>
      </c>
      <c r="H679" s="10">
        <f>0</f>
        <v>0</v>
      </c>
    </row>
    <row r="680" spans="1:8" ht="15.75" customHeight="1" x14ac:dyDescent="0.2">
      <c r="A680" s="47"/>
      <c r="B680" s="47"/>
      <c r="C680" s="14" t="s">
        <v>21</v>
      </c>
      <c r="D680" s="33" t="s">
        <v>706</v>
      </c>
      <c r="E680" s="10">
        <f>0</f>
        <v>0</v>
      </c>
      <c r="F680" s="10">
        <f>0</f>
        <v>0</v>
      </c>
      <c r="G680" s="10" t="s">
        <v>1158</v>
      </c>
      <c r="H680" s="10">
        <f>0</f>
        <v>0</v>
      </c>
    </row>
    <row r="681" spans="1:8" x14ac:dyDescent="0.2">
      <c r="A681" s="47"/>
      <c r="B681" s="47"/>
      <c r="C681" s="54" t="s">
        <v>13</v>
      </c>
      <c r="D681" s="71"/>
      <c r="E681" s="44">
        <f>E620+E646+E674</f>
        <v>564401.99</v>
      </c>
      <c r="F681" s="45">
        <f>F620+F646+F674</f>
        <v>53678.42</v>
      </c>
      <c r="G681" s="76" t="s">
        <v>1172</v>
      </c>
      <c r="H681" s="45">
        <f>H620+H646+H674</f>
        <v>53678.42</v>
      </c>
    </row>
    <row r="682" spans="1:8" s="19" customFormat="1" ht="36" x14ac:dyDescent="0.2">
      <c r="A682" s="47">
        <v>11</v>
      </c>
      <c r="B682" s="47" t="s">
        <v>154</v>
      </c>
      <c r="C682" s="13" t="s">
        <v>9</v>
      </c>
      <c r="D682" s="32" t="s">
        <v>707</v>
      </c>
      <c r="E682" s="17">
        <f>E683</f>
        <v>91200</v>
      </c>
      <c r="F682" s="17">
        <f>F683</f>
        <v>0</v>
      </c>
      <c r="G682" s="17" t="s">
        <v>165</v>
      </c>
      <c r="H682" s="17">
        <f>H683</f>
        <v>0</v>
      </c>
    </row>
    <row r="683" spans="1:8" ht="36" x14ac:dyDescent="0.2">
      <c r="A683" s="47"/>
      <c r="B683" s="47"/>
      <c r="C683" s="11" t="s">
        <v>178</v>
      </c>
      <c r="D683" s="33" t="s">
        <v>708</v>
      </c>
      <c r="E683" s="10">
        <f>E684+E685+E686+E687+E688+E689</f>
        <v>91200</v>
      </c>
      <c r="F683" s="10">
        <f>F684+F685+F686+F687+F688+F689</f>
        <v>0</v>
      </c>
      <c r="G683" s="10" t="s">
        <v>165</v>
      </c>
      <c r="H683" s="10">
        <f>H684+H685+H686+H687+H688+H689</f>
        <v>0</v>
      </c>
    </row>
    <row r="684" spans="1:8" ht="36" x14ac:dyDescent="0.2">
      <c r="A684" s="47"/>
      <c r="B684" s="47"/>
      <c r="C684" s="14" t="s">
        <v>14</v>
      </c>
      <c r="D684" s="33" t="s">
        <v>709</v>
      </c>
      <c r="E684" s="10">
        <f>100</f>
        <v>100</v>
      </c>
      <c r="F684" s="10">
        <f>0</f>
        <v>0</v>
      </c>
      <c r="G684" s="10" t="s">
        <v>165</v>
      </c>
      <c r="H684" s="10">
        <f>0</f>
        <v>0</v>
      </c>
    </row>
    <row r="685" spans="1:8" ht="36" x14ac:dyDescent="0.2">
      <c r="A685" s="47"/>
      <c r="B685" s="47"/>
      <c r="C685" s="14" t="s">
        <v>15</v>
      </c>
      <c r="D685" s="33" t="s">
        <v>710</v>
      </c>
      <c r="E685" s="10">
        <f>150</f>
        <v>150</v>
      </c>
      <c r="F685" s="10">
        <f>0</f>
        <v>0</v>
      </c>
      <c r="G685" s="10" t="s">
        <v>165</v>
      </c>
      <c r="H685" s="10">
        <f>0</f>
        <v>0</v>
      </c>
    </row>
    <row r="686" spans="1:8" ht="36" x14ac:dyDescent="0.2">
      <c r="A686" s="47"/>
      <c r="B686" s="47"/>
      <c r="C686" s="14" t="s">
        <v>17</v>
      </c>
      <c r="D686" s="33" t="s">
        <v>711</v>
      </c>
      <c r="E686" s="10">
        <f>150</f>
        <v>150</v>
      </c>
      <c r="F686" s="10">
        <f>0</f>
        <v>0</v>
      </c>
      <c r="G686" s="10" t="s">
        <v>165</v>
      </c>
      <c r="H686" s="10">
        <f>0</f>
        <v>0</v>
      </c>
    </row>
    <row r="687" spans="1:8" ht="36" x14ac:dyDescent="0.2">
      <c r="A687" s="47"/>
      <c r="B687" s="47"/>
      <c r="C687" s="14" t="s">
        <v>19</v>
      </c>
      <c r="D687" s="33" t="s">
        <v>712</v>
      </c>
      <c r="E687" s="10">
        <f>800</f>
        <v>800</v>
      </c>
      <c r="F687" s="10">
        <f>0</f>
        <v>0</v>
      </c>
      <c r="G687" s="10" t="s">
        <v>165</v>
      </c>
      <c r="H687" s="10">
        <f>0</f>
        <v>0</v>
      </c>
    </row>
    <row r="688" spans="1:8" ht="36" x14ac:dyDescent="0.2">
      <c r="A688" s="47"/>
      <c r="B688" s="47"/>
      <c r="C688" s="14" t="s">
        <v>21</v>
      </c>
      <c r="D688" s="33" t="s">
        <v>713</v>
      </c>
      <c r="E688" s="10">
        <f>0</f>
        <v>0</v>
      </c>
      <c r="F688" s="10">
        <f>0</f>
        <v>0</v>
      </c>
      <c r="G688" s="10" t="s">
        <v>1158</v>
      </c>
      <c r="H688" s="10">
        <f>0</f>
        <v>0</v>
      </c>
    </row>
    <row r="689" spans="1:8" ht="36" x14ac:dyDescent="0.2">
      <c r="A689" s="47"/>
      <c r="B689" s="47"/>
      <c r="C689" s="14" t="s">
        <v>23</v>
      </c>
      <c r="D689" s="33" t="s">
        <v>714</v>
      </c>
      <c r="E689" s="10">
        <f>90000</f>
        <v>90000</v>
      </c>
      <c r="F689" s="10">
        <f>0</f>
        <v>0</v>
      </c>
      <c r="G689" s="10" t="s">
        <v>165</v>
      </c>
      <c r="H689" s="10">
        <f>0</f>
        <v>0</v>
      </c>
    </row>
    <row r="690" spans="1:8" s="19" customFormat="1" ht="36" x14ac:dyDescent="0.2">
      <c r="A690" s="47"/>
      <c r="B690" s="47"/>
      <c r="C690" s="13" t="s">
        <v>10</v>
      </c>
      <c r="D690" s="32" t="s">
        <v>715</v>
      </c>
      <c r="E690" s="17">
        <f>E691</f>
        <v>1000</v>
      </c>
      <c r="F690" s="17">
        <f>F691</f>
        <v>0</v>
      </c>
      <c r="G690" s="17" t="s">
        <v>165</v>
      </c>
      <c r="H690" s="17">
        <f>H691</f>
        <v>0</v>
      </c>
    </row>
    <row r="691" spans="1:8" ht="48" x14ac:dyDescent="0.2">
      <c r="A691" s="47"/>
      <c r="B691" s="47"/>
      <c r="C691" s="11" t="s">
        <v>178</v>
      </c>
      <c r="D691" s="33" t="s">
        <v>716</v>
      </c>
      <c r="E691" s="10">
        <f>E692+E693+E694</f>
        <v>1000</v>
      </c>
      <c r="F691" s="10">
        <f>F692+F693+F694</f>
        <v>0</v>
      </c>
      <c r="G691" s="10" t="s">
        <v>165</v>
      </c>
      <c r="H691" s="10">
        <f>H692+H693+H694</f>
        <v>0</v>
      </c>
    </row>
    <row r="692" spans="1:8" ht="36" x14ac:dyDescent="0.2">
      <c r="A692" s="47"/>
      <c r="B692" s="47"/>
      <c r="C692" s="14" t="s">
        <v>14</v>
      </c>
      <c r="D692" s="33" t="s">
        <v>717</v>
      </c>
      <c r="E692" s="10">
        <f>1000</f>
        <v>1000</v>
      </c>
      <c r="F692" s="10">
        <f>0</f>
        <v>0</v>
      </c>
      <c r="G692" s="10" t="s">
        <v>165</v>
      </c>
      <c r="H692" s="10">
        <f>0</f>
        <v>0</v>
      </c>
    </row>
    <row r="693" spans="1:8" ht="36" x14ac:dyDescent="0.2">
      <c r="A693" s="47"/>
      <c r="B693" s="47"/>
      <c r="C693" s="14" t="s">
        <v>15</v>
      </c>
      <c r="D693" s="33" t="s">
        <v>718</v>
      </c>
      <c r="E693" s="10">
        <f>0</f>
        <v>0</v>
      </c>
      <c r="F693" s="10">
        <f>0</f>
        <v>0</v>
      </c>
      <c r="G693" s="10" t="s">
        <v>1158</v>
      </c>
      <c r="H693" s="10">
        <f>0</f>
        <v>0</v>
      </c>
    </row>
    <row r="694" spans="1:8" ht="36" x14ac:dyDescent="0.2">
      <c r="A694" s="47"/>
      <c r="B694" s="47"/>
      <c r="C694" s="14" t="s">
        <v>17</v>
      </c>
      <c r="D694" s="33" t="s">
        <v>719</v>
      </c>
      <c r="E694" s="10">
        <f>0</f>
        <v>0</v>
      </c>
      <c r="F694" s="10">
        <f>0</f>
        <v>0</v>
      </c>
      <c r="G694" s="10" t="s">
        <v>1158</v>
      </c>
      <c r="H694" s="10">
        <f>0</f>
        <v>0</v>
      </c>
    </row>
    <row r="695" spans="1:8" s="19" customFormat="1" ht="24" x14ac:dyDescent="0.2">
      <c r="A695" s="47"/>
      <c r="B695" s="47"/>
      <c r="C695" s="13" t="s">
        <v>11</v>
      </c>
      <c r="D695" s="32" t="s">
        <v>720</v>
      </c>
      <c r="E695" s="17">
        <f>E696</f>
        <v>612</v>
      </c>
      <c r="F695" s="17">
        <f>F696</f>
        <v>168.17</v>
      </c>
      <c r="G695" s="17" t="s">
        <v>1133</v>
      </c>
      <c r="H695" s="17">
        <f>H696</f>
        <v>168.17</v>
      </c>
    </row>
    <row r="696" spans="1:8" ht="48" x14ac:dyDescent="0.2">
      <c r="A696" s="47"/>
      <c r="B696" s="47"/>
      <c r="C696" s="11" t="s">
        <v>178</v>
      </c>
      <c r="D696" s="33" t="s">
        <v>721</v>
      </c>
      <c r="E696" s="10">
        <f>E697</f>
        <v>612</v>
      </c>
      <c r="F696" s="10">
        <f>F697</f>
        <v>168.17</v>
      </c>
      <c r="G696" s="10" t="s">
        <v>1134</v>
      </c>
      <c r="H696" s="10">
        <f>H697</f>
        <v>168.17</v>
      </c>
    </row>
    <row r="697" spans="1:8" ht="48" x14ac:dyDescent="0.2">
      <c r="A697" s="47"/>
      <c r="B697" s="47"/>
      <c r="C697" s="14" t="s">
        <v>14</v>
      </c>
      <c r="D697" s="33" t="s">
        <v>722</v>
      </c>
      <c r="E697" s="10">
        <f>612</f>
        <v>612</v>
      </c>
      <c r="F697" s="10">
        <f>168.17</f>
        <v>168.17</v>
      </c>
      <c r="G697" s="10" t="s">
        <v>1134</v>
      </c>
      <c r="H697" s="10">
        <f>168.17</f>
        <v>168.17</v>
      </c>
    </row>
    <row r="698" spans="1:8" ht="31.5" customHeight="1" x14ac:dyDescent="0.2">
      <c r="A698" s="47"/>
      <c r="B698" s="47"/>
      <c r="C698" s="54" t="s">
        <v>13</v>
      </c>
      <c r="D698" s="72"/>
      <c r="E698" s="21">
        <f>E682+E690+E695</f>
        <v>92812</v>
      </c>
      <c r="F698" s="21">
        <f>F682+F690+F695</f>
        <v>168.17</v>
      </c>
      <c r="G698" s="75" t="s">
        <v>1135</v>
      </c>
      <c r="H698" s="21">
        <f>H682+H690+H695</f>
        <v>168.17</v>
      </c>
    </row>
    <row r="699" spans="1:8" s="19" customFormat="1" x14ac:dyDescent="0.2">
      <c r="A699" s="47">
        <v>12</v>
      </c>
      <c r="B699" s="47" t="s">
        <v>157</v>
      </c>
      <c r="C699" s="13" t="s">
        <v>9</v>
      </c>
      <c r="D699" s="32" t="s">
        <v>723</v>
      </c>
      <c r="E699" s="17">
        <f>E700+E717+E721+E725</f>
        <v>857538.1100000001</v>
      </c>
      <c r="F699" s="17">
        <f>F700+F717+F721+F725</f>
        <v>353689.43999999994</v>
      </c>
      <c r="G699" s="17" t="s">
        <v>1286</v>
      </c>
      <c r="H699" s="17">
        <f>H700+H717+H721+H725</f>
        <v>336935.7</v>
      </c>
    </row>
    <row r="700" spans="1:8" ht="48" x14ac:dyDescent="0.2">
      <c r="A700" s="47"/>
      <c r="B700" s="47"/>
      <c r="C700" s="11" t="s">
        <v>178</v>
      </c>
      <c r="D700" s="33" t="s">
        <v>724</v>
      </c>
      <c r="E700" s="10">
        <f>E701+E702+E703+E704+E705+E706+E707+E708+E709+E710+E711+E712+E713+E715+E714++E716</f>
        <v>100</v>
      </c>
      <c r="F700" s="10">
        <f>F701+F702+F703+F704+F705+F706+F707+F708+F709+F710+F711+F712+F713+F714+F715+F716</f>
        <v>0</v>
      </c>
      <c r="G700" s="10" t="s">
        <v>165</v>
      </c>
      <c r="H700" s="10">
        <f>H701+H702+H703+H704+H705+H706+H707+H708+H709+H710+H711+H712+H713+H714+H715+H716</f>
        <v>0</v>
      </c>
    </row>
    <row r="701" spans="1:8" ht="24" x14ac:dyDescent="0.2">
      <c r="A701" s="47"/>
      <c r="B701" s="47"/>
      <c r="C701" s="14" t="s">
        <v>14</v>
      </c>
      <c r="D701" s="33" t="s">
        <v>725</v>
      </c>
      <c r="E701" s="10">
        <f>0</f>
        <v>0</v>
      </c>
      <c r="F701" s="10">
        <f>0</f>
        <v>0</v>
      </c>
      <c r="G701" s="10" t="s">
        <v>1158</v>
      </c>
      <c r="H701" s="10">
        <f>0</f>
        <v>0</v>
      </c>
    </row>
    <row r="702" spans="1:8" ht="24" x14ac:dyDescent="0.2">
      <c r="A702" s="47"/>
      <c r="B702" s="47"/>
      <c r="C702" s="14" t="s">
        <v>15</v>
      </c>
      <c r="D702" s="33" t="s">
        <v>726</v>
      </c>
      <c r="E702" s="10">
        <f>0</f>
        <v>0</v>
      </c>
      <c r="F702" s="10">
        <f>0</f>
        <v>0</v>
      </c>
      <c r="G702" s="10" t="s">
        <v>1158</v>
      </c>
      <c r="H702" s="10">
        <f>0</f>
        <v>0</v>
      </c>
    </row>
    <row r="703" spans="1:8" ht="24" x14ac:dyDescent="0.2">
      <c r="A703" s="47"/>
      <c r="B703" s="47"/>
      <c r="C703" s="14" t="s">
        <v>17</v>
      </c>
      <c r="D703" s="33" t="s">
        <v>727</v>
      </c>
      <c r="E703" s="10">
        <f>0</f>
        <v>0</v>
      </c>
      <c r="F703" s="10">
        <f>0</f>
        <v>0</v>
      </c>
      <c r="G703" s="10" t="s">
        <v>1158</v>
      </c>
      <c r="H703" s="10">
        <f>0</f>
        <v>0</v>
      </c>
    </row>
    <row r="704" spans="1:8" ht="24" x14ac:dyDescent="0.2">
      <c r="A704" s="47"/>
      <c r="B704" s="47"/>
      <c r="C704" s="14" t="s">
        <v>19</v>
      </c>
      <c r="D704" s="33" t="s">
        <v>728</v>
      </c>
      <c r="E704" s="10">
        <f>0</f>
        <v>0</v>
      </c>
      <c r="F704" s="10">
        <f>0</f>
        <v>0</v>
      </c>
      <c r="G704" s="10" t="s">
        <v>1158</v>
      </c>
      <c r="H704" s="10">
        <f>0</f>
        <v>0</v>
      </c>
    </row>
    <row r="705" spans="1:8" ht="24" x14ac:dyDescent="0.2">
      <c r="A705" s="47"/>
      <c r="B705" s="47"/>
      <c r="C705" s="14" t="s">
        <v>21</v>
      </c>
      <c r="D705" s="33" t="s">
        <v>729</v>
      </c>
      <c r="E705" s="10">
        <f>0</f>
        <v>0</v>
      </c>
      <c r="F705" s="10">
        <f>0</f>
        <v>0</v>
      </c>
      <c r="G705" s="10" t="s">
        <v>1158</v>
      </c>
      <c r="H705" s="10">
        <f>0</f>
        <v>0</v>
      </c>
    </row>
    <row r="706" spans="1:8" ht="48" x14ac:dyDescent="0.2">
      <c r="A706" s="47"/>
      <c r="B706" s="47"/>
      <c r="C706" s="14" t="s">
        <v>23</v>
      </c>
      <c r="D706" s="33" t="s">
        <v>730</v>
      </c>
      <c r="E706" s="10">
        <f>0</f>
        <v>0</v>
      </c>
      <c r="F706" s="10">
        <f>0</f>
        <v>0</v>
      </c>
      <c r="G706" s="10" t="s">
        <v>1158</v>
      </c>
      <c r="H706" s="10">
        <f>0</f>
        <v>0</v>
      </c>
    </row>
    <row r="707" spans="1:8" ht="24" x14ac:dyDescent="0.2">
      <c r="A707" s="47"/>
      <c r="B707" s="47"/>
      <c r="C707" s="14" t="s">
        <v>25</v>
      </c>
      <c r="D707" s="33" t="s">
        <v>731</v>
      </c>
      <c r="E707" s="10">
        <f>0</f>
        <v>0</v>
      </c>
      <c r="F707" s="10">
        <f>0</f>
        <v>0</v>
      </c>
      <c r="G707" s="10" t="s">
        <v>1158</v>
      </c>
      <c r="H707" s="10">
        <f>0</f>
        <v>0</v>
      </c>
    </row>
    <row r="708" spans="1:8" ht="60" x14ac:dyDescent="0.2">
      <c r="A708" s="47"/>
      <c r="B708" s="47"/>
      <c r="C708" s="14" t="s">
        <v>27</v>
      </c>
      <c r="D708" s="33" t="s">
        <v>732</v>
      </c>
      <c r="E708" s="10">
        <f>0</f>
        <v>0</v>
      </c>
      <c r="F708" s="10">
        <f>0</f>
        <v>0</v>
      </c>
      <c r="G708" s="10" t="s">
        <v>1158</v>
      </c>
      <c r="H708" s="10">
        <f>0</f>
        <v>0</v>
      </c>
    </row>
    <row r="709" spans="1:8" ht="48" x14ac:dyDescent="0.2">
      <c r="A709" s="47"/>
      <c r="B709" s="47"/>
      <c r="C709" s="14" t="s">
        <v>29</v>
      </c>
      <c r="D709" s="33" t="s">
        <v>733</v>
      </c>
      <c r="E709" s="10">
        <f>0</f>
        <v>0</v>
      </c>
      <c r="F709" s="10">
        <f>0</f>
        <v>0</v>
      </c>
      <c r="G709" s="10" t="s">
        <v>1158</v>
      </c>
      <c r="H709" s="10">
        <f>0</f>
        <v>0</v>
      </c>
    </row>
    <row r="710" spans="1:8" ht="36" x14ac:dyDescent="0.2">
      <c r="A710" s="47"/>
      <c r="B710" s="47"/>
      <c r="C710" s="14" t="s">
        <v>31</v>
      </c>
      <c r="D710" s="33" t="s">
        <v>734</v>
      </c>
      <c r="E710" s="10">
        <f>0</f>
        <v>0</v>
      </c>
      <c r="F710" s="10">
        <f>0</f>
        <v>0</v>
      </c>
      <c r="G710" s="10" t="s">
        <v>1158</v>
      </c>
      <c r="H710" s="10">
        <f>0</f>
        <v>0</v>
      </c>
    </row>
    <row r="711" spans="1:8" ht="36" x14ac:dyDescent="0.2">
      <c r="A711" s="47"/>
      <c r="B711" s="47"/>
      <c r="C711" s="14" t="s">
        <v>33</v>
      </c>
      <c r="D711" s="33" t="s">
        <v>735</v>
      </c>
      <c r="E711" s="10">
        <f>0</f>
        <v>0</v>
      </c>
      <c r="F711" s="10">
        <f>0</f>
        <v>0</v>
      </c>
      <c r="G711" s="10" t="s">
        <v>1158</v>
      </c>
      <c r="H711" s="10">
        <f>0</f>
        <v>0</v>
      </c>
    </row>
    <row r="712" spans="1:8" ht="48" x14ac:dyDescent="0.2">
      <c r="A712" s="47"/>
      <c r="B712" s="47"/>
      <c r="C712" s="14" t="s">
        <v>35</v>
      </c>
      <c r="D712" s="33" t="s">
        <v>736</v>
      </c>
      <c r="E712" s="10">
        <f>0</f>
        <v>0</v>
      </c>
      <c r="F712" s="10">
        <f>0</f>
        <v>0</v>
      </c>
      <c r="G712" s="10" t="s">
        <v>1158</v>
      </c>
      <c r="H712" s="10">
        <f>0</f>
        <v>0</v>
      </c>
    </row>
    <row r="713" spans="1:8" ht="48" x14ac:dyDescent="0.2">
      <c r="A713" s="47"/>
      <c r="B713" s="47"/>
      <c r="C713" s="14" t="s">
        <v>37</v>
      </c>
      <c r="D713" s="33" t="s">
        <v>737</v>
      </c>
      <c r="E713" s="10">
        <f>0</f>
        <v>0</v>
      </c>
      <c r="F713" s="10">
        <f>0</f>
        <v>0</v>
      </c>
      <c r="G713" s="10" t="s">
        <v>1158</v>
      </c>
      <c r="H713" s="10">
        <f>0</f>
        <v>0</v>
      </c>
    </row>
    <row r="714" spans="1:8" ht="36" x14ac:dyDescent="0.2">
      <c r="A714" s="47"/>
      <c r="B714" s="47"/>
      <c r="C714" s="14" t="s">
        <v>39</v>
      </c>
      <c r="D714" s="33" t="s">
        <v>738</v>
      </c>
      <c r="E714" s="10">
        <f>0</f>
        <v>0</v>
      </c>
      <c r="F714" s="10">
        <f>0</f>
        <v>0</v>
      </c>
      <c r="G714" s="10" t="s">
        <v>1158</v>
      </c>
      <c r="H714" s="10">
        <f>0</f>
        <v>0</v>
      </c>
    </row>
    <row r="715" spans="1:8" ht="48" x14ac:dyDescent="0.2">
      <c r="A715" s="47"/>
      <c r="B715" s="47"/>
      <c r="C715" s="14" t="s">
        <v>41</v>
      </c>
      <c r="D715" s="33" t="s">
        <v>739</v>
      </c>
      <c r="E715" s="10">
        <f>0</f>
        <v>0</v>
      </c>
      <c r="F715" s="10">
        <f>0</f>
        <v>0</v>
      </c>
      <c r="G715" s="10" t="s">
        <v>1158</v>
      </c>
      <c r="H715" s="10">
        <f>0</f>
        <v>0</v>
      </c>
    </row>
    <row r="716" spans="1:8" ht="48" x14ac:dyDescent="0.2">
      <c r="A716" s="47"/>
      <c r="B716" s="47"/>
      <c r="C716" s="14" t="s">
        <v>43</v>
      </c>
      <c r="D716" s="33" t="s">
        <v>740</v>
      </c>
      <c r="E716" s="10">
        <f>100</f>
        <v>100</v>
      </c>
      <c r="F716" s="10">
        <f>0</f>
        <v>0</v>
      </c>
      <c r="G716" s="10" t="s">
        <v>165</v>
      </c>
      <c r="H716" s="10">
        <f>0</f>
        <v>0</v>
      </c>
    </row>
    <row r="717" spans="1:8" ht="36" x14ac:dyDescent="0.2">
      <c r="A717" s="47"/>
      <c r="B717" s="47"/>
      <c r="C717" s="11" t="s">
        <v>187</v>
      </c>
      <c r="D717" s="33" t="s">
        <v>741</v>
      </c>
      <c r="E717" s="10">
        <f>E718+E719+E720</f>
        <v>59883</v>
      </c>
      <c r="F717" s="10">
        <f>F718+F719+F720</f>
        <v>16126.53</v>
      </c>
      <c r="G717" s="10" t="s">
        <v>1287</v>
      </c>
      <c r="H717" s="10">
        <f>H718+H719+H720</f>
        <v>16126.53</v>
      </c>
    </row>
    <row r="718" spans="1:8" ht="108" x14ac:dyDescent="0.2">
      <c r="A718" s="47"/>
      <c r="B718" s="47"/>
      <c r="C718" s="14" t="s">
        <v>98</v>
      </c>
      <c r="D718" s="33" t="s">
        <v>742</v>
      </c>
      <c r="E718" s="10">
        <f>31599</f>
        <v>31599</v>
      </c>
      <c r="F718" s="10">
        <v>12384.93</v>
      </c>
      <c r="G718" s="10" t="s">
        <v>1275</v>
      </c>
      <c r="H718" s="10">
        <v>12384.93</v>
      </c>
    </row>
    <row r="719" spans="1:8" ht="84" x14ac:dyDescent="0.2">
      <c r="A719" s="47"/>
      <c r="B719" s="47"/>
      <c r="C719" s="14" t="s">
        <v>190</v>
      </c>
      <c r="D719" s="33" t="s">
        <v>743</v>
      </c>
      <c r="E719" s="10">
        <f>22118+6166</f>
        <v>28284</v>
      </c>
      <c r="F719" s="10">
        <v>3741.6</v>
      </c>
      <c r="G719" s="10" t="s">
        <v>1276</v>
      </c>
      <c r="H719" s="10">
        <v>3741.6</v>
      </c>
    </row>
    <row r="720" spans="1:8" ht="60" x14ac:dyDescent="0.2">
      <c r="A720" s="47"/>
      <c r="B720" s="47"/>
      <c r="C720" s="14" t="s">
        <v>192</v>
      </c>
      <c r="D720" s="33" t="s">
        <v>744</v>
      </c>
      <c r="E720" s="10">
        <f>0</f>
        <v>0</v>
      </c>
      <c r="F720" s="10">
        <f>0</f>
        <v>0</v>
      </c>
      <c r="G720" s="10" t="s">
        <v>1158</v>
      </c>
      <c r="H720" s="10">
        <f>0</f>
        <v>0</v>
      </c>
    </row>
    <row r="721" spans="1:8" ht="48" x14ac:dyDescent="0.2">
      <c r="A721" s="47"/>
      <c r="B721" s="47"/>
      <c r="C721" s="11" t="s">
        <v>202</v>
      </c>
      <c r="D721" s="33" t="s">
        <v>745</v>
      </c>
      <c r="E721" s="10">
        <f>E722+E723+E724</f>
        <v>48543</v>
      </c>
      <c r="F721" s="10">
        <f>F722+F723+F724</f>
        <v>16566.009999999998</v>
      </c>
      <c r="G721" s="10" t="s">
        <v>1288</v>
      </c>
      <c r="H721" s="10">
        <f>H722+H723+H724</f>
        <v>0</v>
      </c>
    </row>
    <row r="722" spans="1:8" ht="84" x14ac:dyDescent="0.2">
      <c r="A722" s="47"/>
      <c r="B722" s="47"/>
      <c r="C722" s="14" t="s">
        <v>104</v>
      </c>
      <c r="D722" s="41" t="s">
        <v>746</v>
      </c>
      <c r="E722" s="10">
        <f>48062</f>
        <v>48062</v>
      </c>
      <c r="F722" s="10">
        <v>16566.009999999998</v>
      </c>
      <c r="G722" s="10" t="s">
        <v>1289</v>
      </c>
      <c r="H722" s="10">
        <f>0</f>
        <v>0</v>
      </c>
    </row>
    <row r="723" spans="1:8" ht="84" x14ac:dyDescent="0.2">
      <c r="A723" s="47"/>
      <c r="B723" s="47"/>
      <c r="C723" s="14" t="s">
        <v>205</v>
      </c>
      <c r="D723" s="33" t="s">
        <v>747</v>
      </c>
      <c r="E723" s="10">
        <f>0</f>
        <v>0</v>
      </c>
      <c r="F723" s="10">
        <f>0</f>
        <v>0</v>
      </c>
      <c r="G723" s="10" t="s">
        <v>1158</v>
      </c>
      <c r="H723" s="10">
        <f>0</f>
        <v>0</v>
      </c>
    </row>
    <row r="724" spans="1:8" ht="72" x14ac:dyDescent="0.2">
      <c r="A724" s="47"/>
      <c r="B724" s="47"/>
      <c r="C724" s="14" t="s">
        <v>207</v>
      </c>
      <c r="D724" s="33" t="s">
        <v>748</v>
      </c>
      <c r="E724" s="10">
        <f>481</f>
        <v>481</v>
      </c>
      <c r="F724" s="10">
        <f>0</f>
        <v>0</v>
      </c>
      <c r="G724" s="10" t="s">
        <v>165</v>
      </c>
      <c r="H724" s="10">
        <f>0</f>
        <v>0</v>
      </c>
    </row>
    <row r="725" spans="1:8" ht="72" x14ac:dyDescent="0.2">
      <c r="A725" s="47"/>
      <c r="B725" s="47"/>
      <c r="C725" s="11" t="s">
        <v>209</v>
      </c>
      <c r="D725" s="33" t="s">
        <v>749</v>
      </c>
      <c r="E725" s="10">
        <f>E726+E729+E732+E733+E734+E735+E736+E737+E738+E739+E740+E742+E741++E744+E743+E745+E746+E747+E748</f>
        <v>749012.1100000001</v>
      </c>
      <c r="F725" s="10">
        <f>F726+F729+F732++F734+F733+F735+F736+F737+F738+F739+F740+F742+F741+F743+F744+F746+F745+F747+F748</f>
        <v>320996.89999999997</v>
      </c>
      <c r="G725" s="10" t="s">
        <v>1290</v>
      </c>
      <c r="H725" s="10">
        <f>H726+H729+H732++H734+H733+H735+H736+H737+H738+H739+H740+H742+H741+H743+H744+H746+H745+H747+H748</f>
        <v>320809.17</v>
      </c>
    </row>
    <row r="726" spans="1:8" ht="144" x14ac:dyDescent="0.2">
      <c r="A726" s="47"/>
      <c r="B726" s="47"/>
      <c r="C726" s="14" t="s">
        <v>112</v>
      </c>
      <c r="D726" s="33" t="s">
        <v>750</v>
      </c>
      <c r="E726" s="10">
        <f>E727+E728</f>
        <v>629366.91</v>
      </c>
      <c r="F726" s="10">
        <f>F727+F728</f>
        <v>268805.31</v>
      </c>
      <c r="G726" s="10" t="s">
        <v>1291</v>
      </c>
      <c r="H726" s="10">
        <f>H727+H728</f>
        <v>268617.58</v>
      </c>
    </row>
    <row r="727" spans="1:8" ht="36" x14ac:dyDescent="0.2">
      <c r="A727" s="47"/>
      <c r="B727" s="47"/>
      <c r="C727" s="14" t="s">
        <v>114</v>
      </c>
      <c r="D727" s="33" t="s">
        <v>751</v>
      </c>
      <c r="E727" s="10">
        <f>619522.91</f>
        <v>619522.91</v>
      </c>
      <c r="F727" s="10">
        <v>268617.58</v>
      </c>
      <c r="G727" s="10" t="s">
        <v>1277</v>
      </c>
      <c r="H727" s="10">
        <v>268617.58</v>
      </c>
    </row>
    <row r="728" spans="1:8" ht="36" x14ac:dyDescent="0.2">
      <c r="A728" s="47"/>
      <c r="B728" s="47"/>
      <c r="C728" s="14" t="s">
        <v>116</v>
      </c>
      <c r="D728" s="33" t="s">
        <v>752</v>
      </c>
      <c r="E728" s="10">
        <f>9844</f>
        <v>9844</v>
      </c>
      <c r="F728" s="10">
        <v>187.73</v>
      </c>
      <c r="G728" s="10" t="s">
        <v>1281</v>
      </c>
      <c r="H728" s="10">
        <f>0</f>
        <v>0</v>
      </c>
    </row>
    <row r="729" spans="1:8" ht="36" x14ac:dyDescent="0.2">
      <c r="A729" s="47"/>
      <c r="B729" s="47"/>
      <c r="C729" s="14" t="s">
        <v>212</v>
      </c>
      <c r="D729" s="33" t="s">
        <v>753</v>
      </c>
      <c r="E729" s="10">
        <f>E730+E731</f>
        <v>99917.900000000009</v>
      </c>
      <c r="F729" s="10">
        <f>F730+F731</f>
        <v>46301.279999999999</v>
      </c>
      <c r="G729" s="10" t="s">
        <v>1280</v>
      </c>
      <c r="H729" s="10">
        <f>H730+H731</f>
        <v>46301.279999999999</v>
      </c>
    </row>
    <row r="730" spans="1:8" ht="48" x14ac:dyDescent="0.2">
      <c r="A730" s="47"/>
      <c r="B730" s="47"/>
      <c r="C730" s="14" t="s">
        <v>754</v>
      </c>
      <c r="D730" s="33" t="s">
        <v>755</v>
      </c>
      <c r="E730" s="10">
        <f>28001.19+1700</f>
        <v>29701.19</v>
      </c>
      <c r="F730" s="10">
        <v>12791.77</v>
      </c>
      <c r="G730" s="10" t="s">
        <v>1278</v>
      </c>
      <c r="H730" s="10">
        <v>12791.77</v>
      </c>
    </row>
    <row r="731" spans="1:8" ht="48" x14ac:dyDescent="0.2">
      <c r="A731" s="47"/>
      <c r="B731" s="47"/>
      <c r="C731" s="14" t="s">
        <v>756</v>
      </c>
      <c r="D731" s="33" t="s">
        <v>757</v>
      </c>
      <c r="E731" s="10">
        <f>70216.71</f>
        <v>70216.710000000006</v>
      </c>
      <c r="F731" s="10">
        <v>33509.51</v>
      </c>
      <c r="G731" s="10" t="s">
        <v>1279</v>
      </c>
      <c r="H731" s="10">
        <v>33509.51</v>
      </c>
    </row>
    <row r="732" spans="1:8" ht="60" x14ac:dyDescent="0.2">
      <c r="A732" s="47"/>
      <c r="B732" s="47"/>
      <c r="C732" s="14" t="s">
        <v>249</v>
      </c>
      <c r="D732" s="33" t="s">
        <v>758</v>
      </c>
      <c r="E732" s="10">
        <f>1000</f>
        <v>1000</v>
      </c>
      <c r="F732" s="10">
        <f>0</f>
        <v>0</v>
      </c>
      <c r="G732" s="10" t="s">
        <v>165</v>
      </c>
      <c r="H732" s="10">
        <f>0</f>
        <v>0</v>
      </c>
    </row>
    <row r="733" spans="1:8" ht="60" x14ac:dyDescent="0.2">
      <c r="A733" s="47"/>
      <c r="B733" s="47"/>
      <c r="C733" s="14" t="s">
        <v>251</v>
      </c>
      <c r="D733" s="33" t="s">
        <v>759</v>
      </c>
      <c r="E733" s="10">
        <f>100</f>
        <v>100</v>
      </c>
      <c r="F733" s="10">
        <f>0</f>
        <v>0</v>
      </c>
      <c r="G733" s="10" t="s">
        <v>165</v>
      </c>
      <c r="H733" s="10">
        <f>0</f>
        <v>0</v>
      </c>
    </row>
    <row r="734" spans="1:8" ht="36" x14ac:dyDescent="0.2">
      <c r="A734" s="47"/>
      <c r="B734" s="47"/>
      <c r="C734" s="14" t="s">
        <v>414</v>
      </c>
      <c r="D734" s="33" t="s">
        <v>760</v>
      </c>
      <c r="E734" s="10">
        <f>10167.1</f>
        <v>10167.1</v>
      </c>
      <c r="F734" s="10">
        <v>2935.5</v>
      </c>
      <c r="G734" s="10" t="s">
        <v>1282</v>
      </c>
      <c r="H734" s="10">
        <v>2935.5</v>
      </c>
    </row>
    <row r="735" spans="1:8" ht="60" x14ac:dyDescent="0.2">
      <c r="A735" s="47"/>
      <c r="B735" s="47"/>
      <c r="C735" s="14" t="s">
        <v>416</v>
      </c>
      <c r="D735" s="33" t="s">
        <v>761</v>
      </c>
      <c r="E735" s="10">
        <f>0</f>
        <v>0</v>
      </c>
      <c r="F735" s="10">
        <f>0</f>
        <v>0</v>
      </c>
      <c r="G735" s="10" t="s">
        <v>1158</v>
      </c>
      <c r="H735" s="10">
        <f>0</f>
        <v>0</v>
      </c>
    </row>
    <row r="736" spans="1:8" ht="48" x14ac:dyDescent="0.2">
      <c r="A736" s="47"/>
      <c r="B736" s="47"/>
      <c r="C736" s="14" t="s">
        <v>418</v>
      </c>
      <c r="D736" s="33" t="s">
        <v>762</v>
      </c>
      <c r="E736" s="10">
        <f>1318+790</f>
        <v>2108</v>
      </c>
      <c r="F736" s="10">
        <v>1104.58</v>
      </c>
      <c r="G736" s="10" t="s">
        <v>1283</v>
      </c>
      <c r="H736" s="10">
        <v>1104.58</v>
      </c>
    </row>
    <row r="737" spans="1:8" ht="36" x14ac:dyDescent="0.2">
      <c r="A737" s="47"/>
      <c r="B737" s="47"/>
      <c r="C737" s="14" t="s">
        <v>420</v>
      </c>
      <c r="D737" s="33" t="s">
        <v>763</v>
      </c>
      <c r="E737" s="10">
        <f>0</f>
        <v>0</v>
      </c>
      <c r="F737" s="10">
        <f>0</f>
        <v>0</v>
      </c>
      <c r="G737" s="10" t="s">
        <v>1158</v>
      </c>
      <c r="H737" s="10">
        <f>0</f>
        <v>0</v>
      </c>
    </row>
    <row r="738" spans="1:8" ht="24" x14ac:dyDescent="0.2">
      <c r="A738" s="47"/>
      <c r="B738" s="47"/>
      <c r="C738" s="14" t="s">
        <v>764</v>
      </c>
      <c r="D738" s="33" t="s">
        <v>765</v>
      </c>
      <c r="E738" s="10">
        <f>0</f>
        <v>0</v>
      </c>
      <c r="F738" s="10">
        <f>0</f>
        <v>0</v>
      </c>
      <c r="G738" s="10" t="s">
        <v>1158</v>
      </c>
      <c r="H738" s="10">
        <f>0</f>
        <v>0</v>
      </c>
    </row>
    <row r="739" spans="1:8" ht="38.25" customHeight="1" x14ac:dyDescent="0.2">
      <c r="A739" s="47"/>
      <c r="B739" s="47"/>
      <c r="C739" s="14" t="s">
        <v>766</v>
      </c>
      <c r="D739" s="33" t="s">
        <v>767</v>
      </c>
      <c r="E739" s="10">
        <f>0</f>
        <v>0</v>
      </c>
      <c r="F739" s="10">
        <f>0</f>
        <v>0</v>
      </c>
      <c r="G739" s="10" t="s">
        <v>1158</v>
      </c>
      <c r="H739" s="10">
        <f>0</f>
        <v>0</v>
      </c>
    </row>
    <row r="740" spans="1:8" ht="36" x14ac:dyDescent="0.2">
      <c r="A740" s="47"/>
      <c r="B740" s="47"/>
      <c r="C740" s="14" t="s">
        <v>768</v>
      </c>
      <c r="D740" s="33" t="s">
        <v>769</v>
      </c>
      <c r="E740" s="10">
        <f>0</f>
        <v>0</v>
      </c>
      <c r="F740" s="10">
        <f>0</f>
        <v>0</v>
      </c>
      <c r="G740" s="10" t="s">
        <v>1158</v>
      </c>
      <c r="H740" s="10">
        <f>0</f>
        <v>0</v>
      </c>
    </row>
    <row r="741" spans="1:8" ht="36" x14ac:dyDescent="0.2">
      <c r="A741" s="47"/>
      <c r="B741" s="47"/>
      <c r="C741" s="14" t="s">
        <v>770</v>
      </c>
      <c r="D741" s="33" t="s">
        <v>771</v>
      </c>
      <c r="E741" s="10">
        <f>0</f>
        <v>0</v>
      </c>
      <c r="F741" s="10">
        <f>0</f>
        <v>0</v>
      </c>
      <c r="G741" s="10" t="s">
        <v>1158</v>
      </c>
      <c r="H741" s="10">
        <f>0</f>
        <v>0</v>
      </c>
    </row>
    <row r="742" spans="1:8" ht="48" x14ac:dyDescent="0.2">
      <c r="A742" s="47"/>
      <c r="B742" s="47"/>
      <c r="C742" s="14" t="s">
        <v>772</v>
      </c>
      <c r="D742" s="33" t="s">
        <v>773</v>
      </c>
      <c r="E742" s="10">
        <f>0</f>
        <v>0</v>
      </c>
      <c r="F742" s="10">
        <f>0</f>
        <v>0</v>
      </c>
      <c r="G742" s="10" t="s">
        <v>1158</v>
      </c>
      <c r="H742" s="10">
        <f>0</f>
        <v>0</v>
      </c>
    </row>
    <row r="743" spans="1:8" ht="36" x14ac:dyDescent="0.2">
      <c r="A743" s="47"/>
      <c r="B743" s="47"/>
      <c r="C743" s="14" t="s">
        <v>774</v>
      </c>
      <c r="D743" s="33" t="s">
        <v>775</v>
      </c>
      <c r="E743" s="10">
        <f>0</f>
        <v>0</v>
      </c>
      <c r="F743" s="10">
        <f>0</f>
        <v>0</v>
      </c>
      <c r="G743" s="10" t="s">
        <v>1158</v>
      </c>
      <c r="H743" s="10">
        <f>0</f>
        <v>0</v>
      </c>
    </row>
    <row r="744" spans="1:8" ht="48" x14ac:dyDescent="0.2">
      <c r="A744" s="47"/>
      <c r="B744" s="47"/>
      <c r="C744" s="14" t="s">
        <v>776</v>
      </c>
      <c r="D744" s="33" t="s">
        <v>777</v>
      </c>
      <c r="E744" s="10">
        <f>3029.9</f>
        <v>3029.9</v>
      </c>
      <c r="F744" s="10">
        <v>1173.6300000000001</v>
      </c>
      <c r="G744" s="10" t="s">
        <v>1284</v>
      </c>
      <c r="H744" s="10">
        <v>1173.6300000000001</v>
      </c>
    </row>
    <row r="745" spans="1:8" ht="24" x14ac:dyDescent="0.2">
      <c r="A745" s="47"/>
      <c r="B745" s="47"/>
      <c r="C745" s="14" t="s">
        <v>778</v>
      </c>
      <c r="D745" s="33" t="s">
        <v>779</v>
      </c>
      <c r="E745" s="10">
        <f>0</f>
        <v>0</v>
      </c>
      <c r="F745" s="10">
        <f>0</f>
        <v>0</v>
      </c>
      <c r="G745" s="10" t="s">
        <v>1158</v>
      </c>
      <c r="H745" s="10">
        <f>0</f>
        <v>0</v>
      </c>
    </row>
    <row r="746" spans="1:8" ht="24" x14ac:dyDescent="0.2">
      <c r="A746" s="47"/>
      <c r="B746" s="47"/>
      <c r="C746" s="14" t="s">
        <v>780</v>
      </c>
      <c r="D746" s="33" t="s">
        <v>781</v>
      </c>
      <c r="E746" s="10">
        <f>0</f>
        <v>0</v>
      </c>
      <c r="F746" s="10">
        <f>0</f>
        <v>0</v>
      </c>
      <c r="G746" s="10" t="s">
        <v>1158</v>
      </c>
      <c r="H746" s="10">
        <f>0</f>
        <v>0</v>
      </c>
    </row>
    <row r="747" spans="1:8" ht="36" x14ac:dyDescent="0.2">
      <c r="A747" s="47"/>
      <c r="B747" s="47"/>
      <c r="C747" s="14" t="s">
        <v>782</v>
      </c>
      <c r="D747" s="33" t="s">
        <v>767</v>
      </c>
      <c r="E747" s="10">
        <f>0</f>
        <v>0</v>
      </c>
      <c r="F747" s="10">
        <f>0</f>
        <v>0</v>
      </c>
      <c r="G747" s="10" t="s">
        <v>1158</v>
      </c>
      <c r="H747" s="10">
        <f>0</f>
        <v>0</v>
      </c>
    </row>
    <row r="748" spans="1:8" ht="36" x14ac:dyDescent="0.2">
      <c r="A748" s="47"/>
      <c r="B748" s="47"/>
      <c r="C748" s="14" t="s">
        <v>783</v>
      </c>
      <c r="D748" s="33" t="s">
        <v>784</v>
      </c>
      <c r="E748" s="10">
        <f>3322.3</f>
        <v>3322.3</v>
      </c>
      <c r="F748" s="10">
        <v>676.6</v>
      </c>
      <c r="G748" s="10" t="s">
        <v>1285</v>
      </c>
      <c r="H748" s="10">
        <v>676.6</v>
      </c>
    </row>
    <row r="749" spans="1:8" s="19" customFormat="1" ht="36" x14ac:dyDescent="0.2">
      <c r="A749" s="47"/>
      <c r="B749" s="47"/>
      <c r="C749" s="13" t="s">
        <v>10</v>
      </c>
      <c r="D749" s="32" t="s">
        <v>785</v>
      </c>
      <c r="E749" s="17">
        <f>E750+E751+E771+E785+E792+E793+E802+E809</f>
        <v>757774.4600000002</v>
      </c>
      <c r="F749" s="17">
        <f>F750+F751+F771+F785+F792+F793+F802+F809</f>
        <v>357851.63</v>
      </c>
      <c r="G749" s="17" t="s">
        <v>1292</v>
      </c>
      <c r="H749" s="17">
        <f>H750+H751+H771+H785+H792+H793+H802+H809</f>
        <v>357851.63</v>
      </c>
    </row>
    <row r="750" spans="1:8" ht="84" x14ac:dyDescent="0.2">
      <c r="A750" s="47"/>
      <c r="B750" s="47"/>
      <c r="C750" s="11" t="s">
        <v>178</v>
      </c>
      <c r="D750" s="33" t="s">
        <v>786</v>
      </c>
      <c r="E750" s="10">
        <f>0</f>
        <v>0</v>
      </c>
      <c r="F750" s="10">
        <f>0</f>
        <v>0</v>
      </c>
      <c r="G750" s="10" t="s">
        <v>1158</v>
      </c>
      <c r="H750" s="10">
        <f>0</f>
        <v>0</v>
      </c>
    </row>
    <row r="751" spans="1:8" ht="192" x14ac:dyDescent="0.2">
      <c r="A751" s="47"/>
      <c r="B751" s="47"/>
      <c r="C751" s="11" t="s">
        <v>187</v>
      </c>
      <c r="D751" s="33" t="s">
        <v>787</v>
      </c>
      <c r="E751" s="10">
        <f>E752+E757+E758+E759+E760+E762+E761+E763+E764+E765+E766+E767+E769+E770+E768</f>
        <v>694869.50000000012</v>
      </c>
      <c r="F751" s="10">
        <f>F752+F757++F758+F759+F760+F761+F762+F763+F764+F766+F765+++++F767+F768+F769+F770</f>
        <v>331531.74</v>
      </c>
      <c r="G751" s="10" t="s">
        <v>1293</v>
      </c>
      <c r="H751" s="10">
        <f>H752+H757++H758+H759+H760+H761+H762+H763+H764+H766+H765+++++H767+H768+H769+H770</f>
        <v>331531.74</v>
      </c>
    </row>
    <row r="752" spans="1:8" ht="192" x14ac:dyDescent="0.2">
      <c r="A752" s="47"/>
      <c r="B752" s="47"/>
      <c r="C752" s="14" t="s">
        <v>98</v>
      </c>
      <c r="D752" s="33" t="s">
        <v>787</v>
      </c>
      <c r="E752" s="10">
        <f>E753+E754+E755+E756</f>
        <v>611287.94999999995</v>
      </c>
      <c r="F752" s="10">
        <f>F753+F754+F755+F756</f>
        <v>293529.21999999997</v>
      </c>
      <c r="G752" s="10" t="s">
        <v>1294</v>
      </c>
      <c r="H752" s="10">
        <f>H753+H754+H755+H756</f>
        <v>293529.21999999997</v>
      </c>
    </row>
    <row r="753" spans="1:8" ht="36" x14ac:dyDescent="0.2">
      <c r="A753" s="47"/>
      <c r="B753" s="47"/>
      <c r="C753" s="14" t="s">
        <v>100</v>
      </c>
      <c r="D753" s="33" t="s">
        <v>788</v>
      </c>
      <c r="E753" s="10">
        <f>579444+4547.95</f>
        <v>583991.94999999995</v>
      </c>
      <c r="F753" s="10">
        <v>286414.92</v>
      </c>
      <c r="G753" s="10" t="s">
        <v>1295</v>
      </c>
      <c r="H753" s="10">
        <v>286414.92</v>
      </c>
    </row>
    <row r="754" spans="1:8" ht="36" x14ac:dyDescent="0.2">
      <c r="A754" s="47"/>
      <c r="B754" s="47"/>
      <c r="C754" s="14" t="s">
        <v>102</v>
      </c>
      <c r="D754" s="33" t="s">
        <v>752</v>
      </c>
      <c r="E754" s="10">
        <f>20650</f>
        <v>20650</v>
      </c>
      <c r="F754" s="10">
        <v>3412.69</v>
      </c>
      <c r="G754" s="10" t="s">
        <v>1296</v>
      </c>
      <c r="H754" s="10">
        <v>3412.69</v>
      </c>
    </row>
    <row r="755" spans="1:8" ht="36" x14ac:dyDescent="0.2">
      <c r="A755" s="47"/>
      <c r="B755" s="47"/>
      <c r="C755" s="14" t="s">
        <v>789</v>
      </c>
      <c r="D755" s="33" t="s">
        <v>790</v>
      </c>
      <c r="E755" s="10">
        <f>6127</f>
        <v>6127</v>
      </c>
      <c r="F755" s="10">
        <v>3635.7</v>
      </c>
      <c r="G755" s="10" t="s">
        <v>1297</v>
      </c>
      <c r="H755" s="10">
        <v>3635.7</v>
      </c>
    </row>
    <row r="756" spans="1:8" ht="108" x14ac:dyDescent="0.2">
      <c r="A756" s="47"/>
      <c r="B756" s="47"/>
      <c r="C756" s="14" t="s">
        <v>791</v>
      </c>
      <c r="D756" s="33" t="s">
        <v>792</v>
      </c>
      <c r="E756" s="10">
        <f>519</f>
        <v>519</v>
      </c>
      <c r="F756" s="10">
        <v>65.91</v>
      </c>
      <c r="G756" s="10" t="s">
        <v>1298</v>
      </c>
      <c r="H756" s="10">
        <v>65.91</v>
      </c>
    </row>
    <row r="757" spans="1:8" ht="36" x14ac:dyDescent="0.2">
      <c r="A757" s="47"/>
      <c r="B757" s="47"/>
      <c r="C757" s="14" t="s">
        <v>190</v>
      </c>
      <c r="D757" s="33" t="s">
        <v>793</v>
      </c>
      <c r="E757" s="10">
        <f>37668.31</f>
        <v>37668.31</v>
      </c>
      <c r="F757" s="10">
        <v>19256.939999999999</v>
      </c>
      <c r="G757" s="10" t="s">
        <v>1299</v>
      </c>
      <c r="H757" s="10">
        <v>19256.939999999999</v>
      </c>
    </row>
    <row r="758" spans="1:8" ht="36" x14ac:dyDescent="0.2">
      <c r="A758" s="47"/>
      <c r="B758" s="47"/>
      <c r="C758" s="14" t="s">
        <v>192</v>
      </c>
      <c r="D758" s="33" t="s">
        <v>794</v>
      </c>
      <c r="E758" s="10">
        <f>21208.03</f>
        <v>21208.03</v>
      </c>
      <c r="F758" s="10">
        <v>11867.58</v>
      </c>
      <c r="G758" s="10" t="s">
        <v>1300</v>
      </c>
      <c r="H758" s="10">
        <v>11867.58</v>
      </c>
    </row>
    <row r="759" spans="1:8" ht="60" x14ac:dyDescent="0.2">
      <c r="A759" s="47"/>
      <c r="B759" s="47"/>
      <c r="C759" s="14" t="s">
        <v>194</v>
      </c>
      <c r="D759" s="33" t="s">
        <v>795</v>
      </c>
      <c r="E759" s="10">
        <f>5283.31</f>
        <v>5283.31</v>
      </c>
      <c r="F759" s="10">
        <v>1763.49</v>
      </c>
      <c r="G759" s="10" t="s">
        <v>1301</v>
      </c>
      <c r="H759" s="10">
        <v>1763.49</v>
      </c>
    </row>
    <row r="760" spans="1:8" ht="36" x14ac:dyDescent="0.2">
      <c r="A760" s="47"/>
      <c r="B760" s="47"/>
      <c r="C760" s="14" t="s">
        <v>196</v>
      </c>
      <c r="D760" s="33" t="s">
        <v>796</v>
      </c>
      <c r="E760" s="10">
        <f>0</f>
        <v>0</v>
      </c>
      <c r="F760" s="10">
        <f>0</f>
        <v>0</v>
      </c>
      <c r="G760" s="10" t="s">
        <v>1158</v>
      </c>
      <c r="H760" s="10">
        <f>0</f>
        <v>0</v>
      </c>
    </row>
    <row r="761" spans="1:8" ht="24" x14ac:dyDescent="0.2">
      <c r="A761" s="47"/>
      <c r="B761" s="47"/>
      <c r="C761" s="14" t="s">
        <v>198</v>
      </c>
      <c r="D761" s="33" t="s">
        <v>797</v>
      </c>
      <c r="E761" s="10">
        <f>0</f>
        <v>0</v>
      </c>
      <c r="F761" s="10">
        <f>0</f>
        <v>0</v>
      </c>
      <c r="G761" s="10" t="s">
        <v>1158</v>
      </c>
      <c r="H761" s="10">
        <f>0</f>
        <v>0</v>
      </c>
    </row>
    <row r="762" spans="1:8" ht="48" x14ac:dyDescent="0.2">
      <c r="A762" s="47"/>
      <c r="B762" s="47"/>
      <c r="C762" s="14" t="s">
        <v>200</v>
      </c>
      <c r="D762" s="33" t="s">
        <v>798</v>
      </c>
      <c r="E762" s="10">
        <f>2128</f>
        <v>2128</v>
      </c>
      <c r="F762" s="10">
        <v>819.77</v>
      </c>
      <c r="G762" s="10" t="s">
        <v>1302</v>
      </c>
      <c r="H762" s="10">
        <v>819.77</v>
      </c>
    </row>
    <row r="763" spans="1:8" ht="36" x14ac:dyDescent="0.2">
      <c r="A763" s="47"/>
      <c r="B763" s="47"/>
      <c r="C763" s="14" t="s">
        <v>306</v>
      </c>
      <c r="D763" s="33" t="s">
        <v>799</v>
      </c>
      <c r="E763" s="10">
        <f>0</f>
        <v>0</v>
      </c>
      <c r="F763" s="10">
        <f>0</f>
        <v>0</v>
      </c>
      <c r="G763" s="10" t="s">
        <v>1158</v>
      </c>
      <c r="H763" s="10">
        <f>0</f>
        <v>0</v>
      </c>
    </row>
    <row r="764" spans="1:8" ht="36" x14ac:dyDescent="0.2">
      <c r="A764" s="47"/>
      <c r="B764" s="47"/>
      <c r="C764" s="14" t="s">
        <v>308</v>
      </c>
      <c r="D764" s="33" t="s">
        <v>800</v>
      </c>
      <c r="E764" s="10">
        <f>200</f>
        <v>200</v>
      </c>
      <c r="F764" s="10">
        <v>0</v>
      </c>
      <c r="G764" s="10" t="s">
        <v>165</v>
      </c>
      <c r="H764" s="10">
        <v>0</v>
      </c>
    </row>
    <row r="765" spans="1:8" ht="36" x14ac:dyDescent="0.2">
      <c r="A765" s="47"/>
      <c r="B765" s="47"/>
      <c r="C765" s="14" t="s">
        <v>310</v>
      </c>
      <c r="D765" s="33" t="s">
        <v>801</v>
      </c>
      <c r="E765" s="10">
        <f>4973.9</f>
        <v>4973.8999999999996</v>
      </c>
      <c r="F765" s="10">
        <v>413.08</v>
      </c>
      <c r="G765" s="10" t="s">
        <v>1303</v>
      </c>
      <c r="H765" s="10">
        <v>413.08</v>
      </c>
    </row>
    <row r="766" spans="1:8" ht="24" x14ac:dyDescent="0.2">
      <c r="A766" s="47"/>
      <c r="B766" s="47"/>
      <c r="C766" s="14" t="s">
        <v>312</v>
      </c>
      <c r="D766" s="33" t="s">
        <v>802</v>
      </c>
      <c r="E766" s="10">
        <f>0</f>
        <v>0</v>
      </c>
      <c r="F766" s="10">
        <f>0</f>
        <v>0</v>
      </c>
      <c r="G766" s="10" t="s">
        <v>1158</v>
      </c>
      <c r="H766" s="10">
        <f>0</f>
        <v>0</v>
      </c>
    </row>
    <row r="767" spans="1:8" ht="36" x14ac:dyDescent="0.2">
      <c r="A767" s="47"/>
      <c r="B767" s="47"/>
      <c r="C767" s="14" t="s">
        <v>314</v>
      </c>
      <c r="D767" s="33" t="s">
        <v>803</v>
      </c>
      <c r="E767" s="10">
        <f>0</f>
        <v>0</v>
      </c>
      <c r="F767" s="10">
        <f>0</f>
        <v>0</v>
      </c>
      <c r="G767" s="10" t="s">
        <v>1158</v>
      </c>
      <c r="H767" s="10">
        <f>0</f>
        <v>0</v>
      </c>
    </row>
    <row r="768" spans="1:8" ht="24" x14ac:dyDescent="0.2">
      <c r="A768" s="47"/>
      <c r="B768" s="47"/>
      <c r="C768" s="14" t="s">
        <v>316</v>
      </c>
      <c r="D768" s="33" t="s">
        <v>781</v>
      </c>
      <c r="E768" s="10">
        <f>0</f>
        <v>0</v>
      </c>
      <c r="F768" s="10">
        <f>0</f>
        <v>0</v>
      </c>
      <c r="G768" s="10" t="s">
        <v>1158</v>
      </c>
      <c r="H768" s="10">
        <f>0</f>
        <v>0</v>
      </c>
    </row>
    <row r="769" spans="1:8" ht="156" x14ac:dyDescent="0.2">
      <c r="A769" s="47"/>
      <c r="B769" s="47"/>
      <c r="C769" s="14" t="s">
        <v>318</v>
      </c>
      <c r="D769" s="33" t="s">
        <v>804</v>
      </c>
      <c r="E769" s="10">
        <f>7247</f>
        <v>7247</v>
      </c>
      <c r="F769" s="10">
        <v>3881.66</v>
      </c>
      <c r="G769" s="10" t="s">
        <v>1304</v>
      </c>
      <c r="H769" s="10">
        <v>3881.66</v>
      </c>
    </row>
    <row r="770" spans="1:8" ht="36" x14ac:dyDescent="0.2">
      <c r="A770" s="47"/>
      <c r="B770" s="47"/>
      <c r="C770" s="14" t="s">
        <v>320</v>
      </c>
      <c r="D770" s="33" t="s">
        <v>805</v>
      </c>
      <c r="E770" s="10">
        <f>4873</f>
        <v>4873</v>
      </c>
      <c r="F770" s="10">
        <f>0</f>
        <v>0</v>
      </c>
      <c r="G770" s="10" t="s">
        <v>165</v>
      </c>
      <c r="H770" s="10">
        <f>0</f>
        <v>0</v>
      </c>
    </row>
    <row r="771" spans="1:8" ht="36" x14ac:dyDescent="0.2">
      <c r="A771" s="47"/>
      <c r="B771" s="47"/>
      <c r="C771" s="11" t="s">
        <v>202</v>
      </c>
      <c r="D771" s="33" t="s">
        <v>806</v>
      </c>
      <c r="E771" s="10">
        <f>E772+E773+E774+E775+E776+E777++E778+E779+E780+E781+E782+E783+E784</f>
        <v>200</v>
      </c>
      <c r="F771" s="10">
        <f>F772+F773+F774+F775+F776+F777+F778+F779+F780+F782+F783+F784+F781</f>
        <v>67.5</v>
      </c>
      <c r="G771" s="10" t="s">
        <v>1038</v>
      </c>
      <c r="H771" s="10">
        <f>H772+H773+H774+H775+H776+H777+H778+H779+H780+H782+H783+H784+H781</f>
        <v>67.5</v>
      </c>
    </row>
    <row r="772" spans="1:8" ht="60" x14ac:dyDescent="0.2">
      <c r="A772" s="47"/>
      <c r="B772" s="47"/>
      <c r="C772" s="14" t="s">
        <v>104</v>
      </c>
      <c r="D772" s="33" t="s">
        <v>807</v>
      </c>
      <c r="E772" s="10">
        <f>0</f>
        <v>0</v>
      </c>
      <c r="F772" s="10">
        <f>0</f>
        <v>0</v>
      </c>
      <c r="G772" s="10" t="s">
        <v>1158</v>
      </c>
      <c r="H772" s="10">
        <f>0</f>
        <v>0</v>
      </c>
    </row>
    <row r="773" spans="1:8" ht="60" x14ac:dyDescent="0.2">
      <c r="A773" s="47"/>
      <c r="B773" s="47"/>
      <c r="C773" s="14" t="s">
        <v>205</v>
      </c>
      <c r="D773" s="33" t="s">
        <v>808</v>
      </c>
      <c r="E773" s="10">
        <f>0</f>
        <v>0</v>
      </c>
      <c r="F773" s="10">
        <f>0</f>
        <v>0</v>
      </c>
      <c r="G773" s="10" t="s">
        <v>1158</v>
      </c>
      <c r="H773" s="10">
        <f>0</f>
        <v>0</v>
      </c>
    </row>
    <row r="774" spans="1:8" ht="36" x14ac:dyDescent="0.2">
      <c r="A774" s="47"/>
      <c r="B774" s="47"/>
      <c r="C774" s="14" t="s">
        <v>207</v>
      </c>
      <c r="D774" s="33" t="s">
        <v>809</v>
      </c>
      <c r="E774" s="10">
        <f>0</f>
        <v>0</v>
      </c>
      <c r="F774" s="10">
        <f>0</f>
        <v>0</v>
      </c>
      <c r="G774" s="10" t="s">
        <v>1158</v>
      </c>
      <c r="H774" s="10">
        <f>0</f>
        <v>0</v>
      </c>
    </row>
    <row r="775" spans="1:8" ht="48" x14ac:dyDescent="0.2">
      <c r="A775" s="47"/>
      <c r="B775" s="47"/>
      <c r="C775" s="14" t="s">
        <v>244</v>
      </c>
      <c r="D775" s="33" t="s">
        <v>810</v>
      </c>
      <c r="E775" s="10">
        <f>200</f>
        <v>200</v>
      </c>
      <c r="F775" s="10">
        <f>67.5</f>
        <v>67.5</v>
      </c>
      <c r="G775" s="10" t="s">
        <v>1038</v>
      </c>
      <c r="H775" s="10">
        <f>67.5</f>
        <v>67.5</v>
      </c>
    </row>
    <row r="776" spans="1:8" ht="72" x14ac:dyDescent="0.2">
      <c r="A776" s="47"/>
      <c r="B776" s="47"/>
      <c r="C776" s="14" t="s">
        <v>379</v>
      </c>
      <c r="D776" s="33" t="s">
        <v>811</v>
      </c>
      <c r="E776" s="10">
        <f>0</f>
        <v>0</v>
      </c>
      <c r="F776" s="10">
        <f>0</f>
        <v>0</v>
      </c>
      <c r="G776" s="10" t="s">
        <v>1158</v>
      </c>
      <c r="H776" s="10">
        <f>0</f>
        <v>0</v>
      </c>
    </row>
    <row r="777" spans="1:8" ht="72" x14ac:dyDescent="0.2">
      <c r="A777" s="47"/>
      <c r="B777" s="47"/>
      <c r="C777" s="14" t="s">
        <v>381</v>
      </c>
      <c r="D777" s="33" t="s">
        <v>812</v>
      </c>
      <c r="E777" s="10">
        <f>0</f>
        <v>0</v>
      </c>
      <c r="F777" s="10">
        <f>0</f>
        <v>0</v>
      </c>
      <c r="G777" s="10" t="s">
        <v>1158</v>
      </c>
      <c r="H777" s="10">
        <f>0</f>
        <v>0</v>
      </c>
    </row>
    <row r="778" spans="1:8" ht="48" x14ac:dyDescent="0.2">
      <c r="A778" s="47"/>
      <c r="B778" s="47"/>
      <c r="C778" s="14" t="s">
        <v>383</v>
      </c>
      <c r="D778" s="33" t="s">
        <v>813</v>
      </c>
      <c r="E778" s="10">
        <f>0</f>
        <v>0</v>
      </c>
      <c r="F778" s="10">
        <f>0</f>
        <v>0</v>
      </c>
      <c r="G778" s="10" t="s">
        <v>1158</v>
      </c>
      <c r="H778" s="10">
        <f>0</f>
        <v>0</v>
      </c>
    </row>
    <row r="779" spans="1:8" ht="48" x14ac:dyDescent="0.2">
      <c r="A779" s="47"/>
      <c r="B779" s="47"/>
      <c r="C779" s="14" t="s">
        <v>385</v>
      </c>
      <c r="D779" s="33" t="s">
        <v>814</v>
      </c>
      <c r="E779" s="10">
        <f>0</f>
        <v>0</v>
      </c>
      <c r="F779" s="10">
        <f>0</f>
        <v>0</v>
      </c>
      <c r="G779" s="10" t="s">
        <v>1158</v>
      </c>
      <c r="H779" s="10">
        <f>0</f>
        <v>0</v>
      </c>
    </row>
    <row r="780" spans="1:8" ht="48" x14ac:dyDescent="0.2">
      <c r="A780" s="47"/>
      <c r="B780" s="47"/>
      <c r="C780" s="14" t="s">
        <v>387</v>
      </c>
      <c r="D780" s="33" t="s">
        <v>815</v>
      </c>
      <c r="E780" s="10">
        <f>0</f>
        <v>0</v>
      </c>
      <c r="F780" s="10">
        <f>0</f>
        <v>0</v>
      </c>
      <c r="G780" s="10" t="s">
        <v>1158</v>
      </c>
      <c r="H780" s="10">
        <f>0</f>
        <v>0</v>
      </c>
    </row>
    <row r="781" spans="1:8" ht="72" x14ac:dyDescent="0.2">
      <c r="A781" s="47"/>
      <c r="B781" s="47"/>
      <c r="C781" s="14" t="s">
        <v>389</v>
      </c>
      <c r="D781" s="33" t="s">
        <v>816</v>
      </c>
      <c r="E781" s="10">
        <f>0</f>
        <v>0</v>
      </c>
      <c r="F781" s="10">
        <f>0</f>
        <v>0</v>
      </c>
      <c r="G781" s="10" t="s">
        <v>1158</v>
      </c>
      <c r="H781" s="10">
        <f>0</f>
        <v>0</v>
      </c>
    </row>
    <row r="782" spans="1:8" ht="60" x14ac:dyDescent="0.2">
      <c r="A782" s="47"/>
      <c r="B782" s="47"/>
      <c r="C782" s="14" t="s">
        <v>391</v>
      </c>
      <c r="D782" s="33" t="s">
        <v>817</v>
      </c>
      <c r="E782" s="10">
        <f>0</f>
        <v>0</v>
      </c>
      <c r="F782" s="10">
        <f>0</f>
        <v>0</v>
      </c>
      <c r="G782" s="10" t="s">
        <v>1158</v>
      </c>
      <c r="H782" s="10">
        <f>0</f>
        <v>0</v>
      </c>
    </row>
    <row r="783" spans="1:8" ht="24" x14ac:dyDescent="0.2">
      <c r="A783" s="47"/>
      <c r="B783" s="47"/>
      <c r="C783" s="14" t="s">
        <v>393</v>
      </c>
      <c r="D783" s="33" t="s">
        <v>818</v>
      </c>
      <c r="E783" s="10">
        <f>0</f>
        <v>0</v>
      </c>
      <c r="F783" s="10">
        <f>0</f>
        <v>0</v>
      </c>
      <c r="G783" s="10" t="s">
        <v>1158</v>
      </c>
      <c r="H783" s="10">
        <f>0</f>
        <v>0</v>
      </c>
    </row>
    <row r="784" spans="1:8" ht="36" x14ac:dyDescent="0.2">
      <c r="A784" s="47"/>
      <c r="B784" s="47"/>
      <c r="C784" s="14" t="s">
        <v>395</v>
      </c>
      <c r="D784" s="33" t="s">
        <v>819</v>
      </c>
      <c r="E784" s="10">
        <f>0</f>
        <v>0</v>
      </c>
      <c r="F784" s="10">
        <f>0</f>
        <v>0</v>
      </c>
      <c r="G784" s="10" t="s">
        <v>1158</v>
      </c>
      <c r="H784" s="10">
        <f>0</f>
        <v>0</v>
      </c>
    </row>
    <row r="785" spans="1:8" ht="36" x14ac:dyDescent="0.2">
      <c r="A785" s="47"/>
      <c r="B785" s="47"/>
      <c r="C785" s="11" t="s">
        <v>209</v>
      </c>
      <c r="D785" s="33" t="s">
        <v>820</v>
      </c>
      <c r="E785" s="10">
        <f>E786+E787++E788+E789+E790+E791</f>
        <v>49160</v>
      </c>
      <c r="F785" s="10">
        <f>F786+F787+F788+F789+F790+F791</f>
        <v>23865.489999999998</v>
      </c>
      <c r="G785" s="10" t="s">
        <v>1305</v>
      </c>
      <c r="H785" s="10">
        <f>H786+H787+H788+H789+H790+H791</f>
        <v>23865.489999999998</v>
      </c>
    </row>
    <row r="786" spans="1:8" ht="108" x14ac:dyDescent="0.2">
      <c r="A786" s="47"/>
      <c r="B786" s="47"/>
      <c r="C786" s="14" t="s">
        <v>112</v>
      </c>
      <c r="D786" s="33" t="s">
        <v>821</v>
      </c>
      <c r="E786" s="10">
        <f>43758</f>
        <v>43758</v>
      </c>
      <c r="F786" s="10">
        <v>22090.26</v>
      </c>
      <c r="G786" s="10" t="s">
        <v>1306</v>
      </c>
      <c r="H786" s="10">
        <v>22090.26</v>
      </c>
    </row>
    <row r="787" spans="1:8" ht="96" x14ac:dyDescent="0.2">
      <c r="A787" s="47"/>
      <c r="B787" s="47"/>
      <c r="C787" s="14" t="s">
        <v>212</v>
      </c>
      <c r="D787" s="33" t="s">
        <v>822</v>
      </c>
      <c r="E787" s="10">
        <f>0</f>
        <v>0</v>
      </c>
      <c r="F787" s="10">
        <f>0</f>
        <v>0</v>
      </c>
      <c r="G787" s="10" t="s">
        <v>1158</v>
      </c>
      <c r="H787" s="10">
        <f>0</f>
        <v>0</v>
      </c>
    </row>
    <row r="788" spans="1:8" ht="84" x14ac:dyDescent="0.2">
      <c r="A788" s="47"/>
      <c r="B788" s="47"/>
      <c r="C788" s="14" t="s">
        <v>249</v>
      </c>
      <c r="D788" s="33" t="s">
        <v>823</v>
      </c>
      <c r="E788" s="10">
        <f>0</f>
        <v>0</v>
      </c>
      <c r="F788" s="10">
        <f>0</f>
        <v>0</v>
      </c>
      <c r="G788" s="10" t="s">
        <v>1158</v>
      </c>
      <c r="H788" s="10">
        <f>0</f>
        <v>0</v>
      </c>
    </row>
    <row r="789" spans="1:8" ht="36" x14ac:dyDescent="0.2">
      <c r="A789" s="47"/>
      <c r="B789" s="47"/>
      <c r="C789" s="14" t="s">
        <v>251</v>
      </c>
      <c r="D789" s="33" t="s">
        <v>824</v>
      </c>
      <c r="E789" s="10">
        <f>500</f>
        <v>500</v>
      </c>
      <c r="F789" s="10">
        <v>139.05000000000001</v>
      </c>
      <c r="G789" s="10" t="s">
        <v>1307</v>
      </c>
      <c r="H789" s="10">
        <v>139.05000000000001</v>
      </c>
    </row>
    <row r="790" spans="1:8" ht="48" x14ac:dyDescent="0.2">
      <c r="A790" s="47"/>
      <c r="B790" s="47"/>
      <c r="C790" s="14" t="s">
        <v>414</v>
      </c>
      <c r="D790" s="33" t="s">
        <v>825</v>
      </c>
      <c r="E790" s="10">
        <f>0</f>
        <v>0</v>
      </c>
      <c r="F790" s="10">
        <f>0</f>
        <v>0</v>
      </c>
      <c r="G790" s="10" t="s">
        <v>1158</v>
      </c>
      <c r="H790" s="10">
        <f>0</f>
        <v>0</v>
      </c>
    </row>
    <row r="791" spans="1:8" ht="84" x14ac:dyDescent="0.2">
      <c r="A791" s="47"/>
      <c r="B791" s="47"/>
      <c r="C791" s="14" t="s">
        <v>416</v>
      </c>
      <c r="D791" s="33" t="s">
        <v>826</v>
      </c>
      <c r="E791" s="10">
        <f>4902</f>
        <v>4902</v>
      </c>
      <c r="F791" s="10">
        <v>1636.18</v>
      </c>
      <c r="G791" s="10" t="s">
        <v>1301</v>
      </c>
      <c r="H791" s="10">
        <v>1636.18</v>
      </c>
    </row>
    <row r="792" spans="1:8" ht="36" x14ac:dyDescent="0.2">
      <c r="A792" s="47"/>
      <c r="B792" s="47"/>
      <c r="C792" s="11" t="s">
        <v>214</v>
      </c>
      <c r="D792" s="33" t="s">
        <v>827</v>
      </c>
      <c r="E792" s="10">
        <f>0</f>
        <v>0</v>
      </c>
      <c r="F792" s="10">
        <f>0</f>
        <v>0</v>
      </c>
      <c r="G792" s="10" t="s">
        <v>1158</v>
      </c>
      <c r="H792" s="10">
        <f>0</f>
        <v>0</v>
      </c>
    </row>
    <row r="793" spans="1:8" ht="60" x14ac:dyDescent="0.2">
      <c r="A793" s="47"/>
      <c r="B793" s="47"/>
      <c r="C793" s="11" t="s">
        <v>258</v>
      </c>
      <c r="D793" s="33" t="s">
        <v>828</v>
      </c>
      <c r="E793" s="10">
        <f>E794+E795+E796+E797+E798+E799+E800+E801</f>
        <v>7162.0599999999995</v>
      </c>
      <c r="F793" s="10">
        <f>F794+F795+F796+F797+F798+F800+F799+F801</f>
        <v>2386.9</v>
      </c>
      <c r="G793" s="10" t="s">
        <v>1308</v>
      </c>
      <c r="H793" s="10">
        <f>H794+H795+H796+H797+H798+H800+H799+H801</f>
        <v>2386.9</v>
      </c>
    </row>
    <row r="794" spans="1:8" ht="36" x14ac:dyDescent="0.2">
      <c r="A794" s="47"/>
      <c r="B794" s="47"/>
      <c r="C794" s="14" t="s">
        <v>260</v>
      </c>
      <c r="D794" s="33" t="s">
        <v>829</v>
      </c>
      <c r="E794" s="10">
        <f>700</f>
        <v>700</v>
      </c>
      <c r="F794" s="10">
        <f>0</f>
        <v>0</v>
      </c>
      <c r="G794" s="10" t="s">
        <v>165</v>
      </c>
      <c r="H794" s="10">
        <f>0</f>
        <v>0</v>
      </c>
    </row>
    <row r="795" spans="1:8" ht="36" x14ac:dyDescent="0.2">
      <c r="A795" s="47"/>
      <c r="B795" s="47"/>
      <c r="C795" s="14" t="s">
        <v>262</v>
      </c>
      <c r="D795" s="33" t="s">
        <v>830</v>
      </c>
      <c r="E795" s="10">
        <f>400</f>
        <v>400</v>
      </c>
      <c r="F795" s="10">
        <f>0</f>
        <v>0</v>
      </c>
      <c r="G795" s="10" t="s">
        <v>165</v>
      </c>
      <c r="H795" s="10">
        <f>0</f>
        <v>0</v>
      </c>
    </row>
    <row r="796" spans="1:8" ht="36" x14ac:dyDescent="0.2">
      <c r="A796" s="47"/>
      <c r="B796" s="47"/>
      <c r="C796" s="14" t="s">
        <v>264</v>
      </c>
      <c r="D796" s="33" t="s">
        <v>831</v>
      </c>
      <c r="E796" s="10">
        <f>1570</f>
        <v>1570</v>
      </c>
      <c r="F796" s="10">
        <f>0</f>
        <v>0</v>
      </c>
      <c r="G796" s="10" t="s">
        <v>165</v>
      </c>
      <c r="H796" s="10">
        <f>0</f>
        <v>0</v>
      </c>
    </row>
    <row r="797" spans="1:8" ht="36" x14ac:dyDescent="0.2">
      <c r="A797" s="47"/>
      <c r="B797" s="47"/>
      <c r="C797" s="14" t="s">
        <v>266</v>
      </c>
      <c r="D797" s="33" t="s">
        <v>832</v>
      </c>
      <c r="E797" s="10">
        <f>400</f>
        <v>400</v>
      </c>
      <c r="F797" s="10">
        <f>0</f>
        <v>0</v>
      </c>
      <c r="G797" s="10" t="s">
        <v>165</v>
      </c>
      <c r="H797" s="10">
        <f>0</f>
        <v>0</v>
      </c>
    </row>
    <row r="798" spans="1:8" ht="24" x14ac:dyDescent="0.2">
      <c r="A798" s="47"/>
      <c r="B798" s="47"/>
      <c r="C798" s="14" t="s">
        <v>268</v>
      </c>
      <c r="D798" s="33" t="s">
        <v>833</v>
      </c>
      <c r="E798" s="10">
        <f>0</f>
        <v>0</v>
      </c>
      <c r="F798" s="10">
        <f>0</f>
        <v>0</v>
      </c>
      <c r="G798" s="10" t="s">
        <v>1158</v>
      </c>
      <c r="H798" s="10">
        <f>0</f>
        <v>0</v>
      </c>
    </row>
    <row r="799" spans="1:8" ht="36" x14ac:dyDescent="0.2">
      <c r="A799" s="47"/>
      <c r="B799" s="47"/>
      <c r="C799" s="14" t="s">
        <v>270</v>
      </c>
      <c r="D799" s="33" t="s">
        <v>834</v>
      </c>
      <c r="E799" s="10">
        <f>2092.06</f>
        <v>2092.06</v>
      </c>
      <c r="F799" s="10">
        <v>446</v>
      </c>
      <c r="G799" s="10" t="s">
        <v>1309</v>
      </c>
      <c r="H799" s="10">
        <v>446</v>
      </c>
    </row>
    <row r="800" spans="1:8" ht="24" x14ac:dyDescent="0.2">
      <c r="A800" s="47"/>
      <c r="B800" s="47"/>
      <c r="C800" s="14" t="s">
        <v>835</v>
      </c>
      <c r="D800" s="33" t="s">
        <v>836</v>
      </c>
      <c r="E800" s="10">
        <f>0</f>
        <v>0</v>
      </c>
      <c r="F800" s="10">
        <f>0</f>
        <v>0</v>
      </c>
      <c r="G800" s="10" t="s">
        <v>1158</v>
      </c>
      <c r="H800" s="10">
        <f>0</f>
        <v>0</v>
      </c>
    </row>
    <row r="801" spans="1:8" ht="36" x14ac:dyDescent="0.2">
      <c r="A801" s="47"/>
      <c r="B801" s="47"/>
      <c r="C801" s="14" t="s">
        <v>837</v>
      </c>
      <c r="D801" s="33" t="s">
        <v>838</v>
      </c>
      <c r="E801" s="10">
        <f>2000</f>
        <v>2000</v>
      </c>
      <c r="F801" s="10">
        <v>1940.9</v>
      </c>
      <c r="G801" s="10" t="s">
        <v>1310</v>
      </c>
      <c r="H801" s="10">
        <v>1940.9</v>
      </c>
    </row>
    <row r="802" spans="1:8" ht="36" x14ac:dyDescent="0.2">
      <c r="A802" s="47"/>
      <c r="B802" s="47"/>
      <c r="C802" s="11" t="s">
        <v>579</v>
      </c>
      <c r="D802" s="33" t="s">
        <v>839</v>
      </c>
      <c r="E802" s="10">
        <f>E803+E804+E805+E806+E808+E807</f>
        <v>6382.9</v>
      </c>
      <c r="F802" s="10">
        <f>F803+F804+F805+F806+F807+F808</f>
        <v>0</v>
      </c>
      <c r="G802" s="10" t="s">
        <v>165</v>
      </c>
      <c r="H802" s="10">
        <f>H803+H804+H805+H806+H807+H808</f>
        <v>0</v>
      </c>
    </row>
    <row r="803" spans="1:8" ht="36" x14ac:dyDescent="0.2">
      <c r="A803" s="47"/>
      <c r="B803" s="47"/>
      <c r="C803" s="14" t="s">
        <v>581</v>
      </c>
      <c r="D803" s="33" t="s">
        <v>840</v>
      </c>
      <c r="E803" s="10">
        <f>5082.9</f>
        <v>5082.8999999999996</v>
      </c>
      <c r="F803" s="10">
        <f>0</f>
        <v>0</v>
      </c>
      <c r="G803" s="10" t="s">
        <v>165</v>
      </c>
      <c r="H803" s="10">
        <f>0</f>
        <v>0</v>
      </c>
    </row>
    <row r="804" spans="1:8" ht="72" x14ac:dyDescent="0.2">
      <c r="A804" s="47"/>
      <c r="B804" s="47"/>
      <c r="C804" s="14" t="s">
        <v>841</v>
      </c>
      <c r="D804" s="33" t="s">
        <v>842</v>
      </c>
      <c r="E804" s="10">
        <f>0</f>
        <v>0</v>
      </c>
      <c r="F804" s="10">
        <f>0</f>
        <v>0</v>
      </c>
      <c r="G804" s="10" t="s">
        <v>1158</v>
      </c>
      <c r="H804" s="10">
        <f>0</f>
        <v>0</v>
      </c>
    </row>
    <row r="805" spans="1:8" ht="24" x14ac:dyDescent="0.2">
      <c r="A805" s="47"/>
      <c r="B805" s="47"/>
      <c r="C805" s="14" t="s">
        <v>843</v>
      </c>
      <c r="D805" s="33" t="s">
        <v>844</v>
      </c>
      <c r="E805" s="10">
        <f>0</f>
        <v>0</v>
      </c>
      <c r="F805" s="10">
        <f>0</f>
        <v>0</v>
      </c>
      <c r="G805" s="10" t="s">
        <v>1158</v>
      </c>
      <c r="H805" s="10">
        <f>0</f>
        <v>0</v>
      </c>
    </row>
    <row r="806" spans="1:8" ht="48" x14ac:dyDescent="0.2">
      <c r="A806" s="47"/>
      <c r="B806" s="47"/>
      <c r="C806" s="14" t="s">
        <v>845</v>
      </c>
      <c r="D806" s="33" t="s">
        <v>846</v>
      </c>
      <c r="E806" s="10">
        <f>1300</f>
        <v>1300</v>
      </c>
      <c r="F806" s="10">
        <f>0</f>
        <v>0</v>
      </c>
      <c r="G806" s="10" t="s">
        <v>165</v>
      </c>
      <c r="H806" s="10">
        <f>0</f>
        <v>0</v>
      </c>
    </row>
    <row r="807" spans="1:8" ht="36" x14ac:dyDescent="0.2">
      <c r="A807" s="47"/>
      <c r="B807" s="47"/>
      <c r="C807" s="14" t="s">
        <v>847</v>
      </c>
      <c r="D807" s="33" t="s">
        <v>848</v>
      </c>
      <c r="E807" s="10">
        <f>0</f>
        <v>0</v>
      </c>
      <c r="F807" s="10">
        <f>0</f>
        <v>0</v>
      </c>
      <c r="G807" s="10" t="s">
        <v>1158</v>
      </c>
      <c r="H807" s="10">
        <f>0</f>
        <v>0</v>
      </c>
    </row>
    <row r="808" spans="1:8" ht="24" x14ac:dyDescent="0.2">
      <c r="A808" s="47"/>
      <c r="B808" s="47"/>
      <c r="C808" s="14" t="s">
        <v>849</v>
      </c>
      <c r="D808" s="33" t="s">
        <v>850</v>
      </c>
      <c r="E808" s="10">
        <f>0</f>
        <v>0</v>
      </c>
      <c r="F808" s="10">
        <f>0</f>
        <v>0</v>
      </c>
      <c r="G808" s="10" t="s">
        <v>1158</v>
      </c>
      <c r="H808" s="10">
        <f>0</f>
        <v>0</v>
      </c>
    </row>
    <row r="809" spans="1:8" ht="36" x14ac:dyDescent="0.2">
      <c r="A809" s="47"/>
      <c r="B809" s="47"/>
      <c r="C809" s="11" t="s">
        <v>851</v>
      </c>
      <c r="D809" s="33" t="s">
        <v>852</v>
      </c>
      <c r="E809" s="10">
        <f>E810</f>
        <v>0</v>
      </c>
      <c r="F809" s="10">
        <f>F810</f>
        <v>0</v>
      </c>
      <c r="G809" s="10" t="s">
        <v>1158</v>
      </c>
      <c r="H809" s="10">
        <f>H810</f>
        <v>0</v>
      </c>
    </row>
    <row r="810" spans="1:8" ht="36" x14ac:dyDescent="0.2">
      <c r="A810" s="47"/>
      <c r="B810" s="47"/>
      <c r="C810" s="14" t="s">
        <v>853</v>
      </c>
      <c r="D810" s="33" t="s">
        <v>854</v>
      </c>
      <c r="E810" s="10">
        <f>0</f>
        <v>0</v>
      </c>
      <c r="F810" s="10">
        <f>0</f>
        <v>0</v>
      </c>
      <c r="G810" s="10" t="s">
        <v>1158</v>
      </c>
      <c r="H810" s="10">
        <f>0</f>
        <v>0</v>
      </c>
    </row>
    <row r="811" spans="1:8" s="19" customFormat="1" ht="36" x14ac:dyDescent="0.2">
      <c r="A811" s="47"/>
      <c r="B811" s="47"/>
      <c r="C811" s="13" t="s">
        <v>11</v>
      </c>
      <c r="D811" s="32" t="s">
        <v>855</v>
      </c>
      <c r="E811" s="17">
        <f>E812+E817+E832+E835++E840+E842+E843+E844++E845+E846</f>
        <v>141973</v>
      </c>
      <c r="F811" s="17">
        <f>F812+F817+F832+F835+F840++F842+F843+F844+F845+F846</f>
        <v>63835.62</v>
      </c>
      <c r="G811" s="17" t="s">
        <v>1311</v>
      </c>
      <c r="H811" s="17">
        <f>H812+H817+H832+H835+H840++H842+H843+H844+H845+H846</f>
        <v>63831.62</v>
      </c>
    </row>
    <row r="812" spans="1:8" ht="36" x14ac:dyDescent="0.2">
      <c r="A812" s="47"/>
      <c r="B812" s="47"/>
      <c r="C812" s="11" t="s">
        <v>178</v>
      </c>
      <c r="D812" s="33" t="s">
        <v>856</v>
      </c>
      <c r="E812" s="10">
        <f>E813</f>
        <v>14435.400000000001</v>
      </c>
      <c r="F812" s="10">
        <f>F813</f>
        <v>1530.96</v>
      </c>
      <c r="G812" s="10" t="s">
        <v>1312</v>
      </c>
      <c r="H812" s="10">
        <f>H813</f>
        <v>1536.96</v>
      </c>
    </row>
    <row r="813" spans="1:8" ht="48" x14ac:dyDescent="0.2">
      <c r="A813" s="47"/>
      <c r="B813" s="47"/>
      <c r="C813" s="14" t="s">
        <v>14</v>
      </c>
      <c r="D813" s="33" t="s">
        <v>857</v>
      </c>
      <c r="E813" s="10">
        <f>E814+E815+E816</f>
        <v>14435.400000000001</v>
      </c>
      <c r="F813" s="10">
        <v>1530.96</v>
      </c>
      <c r="G813" s="10" t="s">
        <v>1312</v>
      </c>
      <c r="H813" s="10">
        <v>1536.96</v>
      </c>
    </row>
    <row r="814" spans="1:8" ht="36" x14ac:dyDescent="0.2">
      <c r="A814" s="47"/>
      <c r="B814" s="47"/>
      <c r="C814" s="14" t="s">
        <v>133</v>
      </c>
      <c r="D814" s="33" t="s">
        <v>858</v>
      </c>
      <c r="E814" s="10">
        <f>14326.87</f>
        <v>14326.87</v>
      </c>
      <c r="F814" s="10">
        <v>1504.53</v>
      </c>
      <c r="G814" s="10" t="s">
        <v>1313</v>
      </c>
      <c r="H814" s="10">
        <v>1504.53</v>
      </c>
    </row>
    <row r="815" spans="1:8" ht="24" x14ac:dyDescent="0.2">
      <c r="A815" s="47"/>
      <c r="B815" s="47"/>
      <c r="C815" s="14" t="s">
        <v>135</v>
      </c>
      <c r="D815" s="33" t="s">
        <v>859</v>
      </c>
      <c r="E815" s="10">
        <f>0</f>
        <v>0</v>
      </c>
      <c r="F815" s="10">
        <f>0</f>
        <v>0</v>
      </c>
      <c r="G815" s="10" t="s">
        <v>1158</v>
      </c>
      <c r="H815" s="10">
        <f>0</f>
        <v>0</v>
      </c>
    </row>
    <row r="816" spans="1:8" ht="36" x14ac:dyDescent="0.2">
      <c r="A816" s="47"/>
      <c r="B816" s="47"/>
      <c r="C816" s="14" t="s">
        <v>137</v>
      </c>
      <c r="D816" s="33" t="s">
        <v>860</v>
      </c>
      <c r="E816" s="10">
        <f>108.53</f>
        <v>108.53</v>
      </c>
      <c r="F816" s="10">
        <v>32.43</v>
      </c>
      <c r="G816" s="10" t="s">
        <v>165</v>
      </c>
      <c r="H816" s="10">
        <v>32.43</v>
      </c>
    </row>
    <row r="817" spans="1:8" ht="96" x14ac:dyDescent="0.2">
      <c r="A817" s="47"/>
      <c r="B817" s="47"/>
      <c r="C817" s="11" t="s">
        <v>187</v>
      </c>
      <c r="D817" s="33" t="s">
        <v>861</v>
      </c>
      <c r="E817" s="10">
        <f>E818+E822+E823+E824+E825+E826+E827+E828+E829+E831+E830</f>
        <v>127325.1</v>
      </c>
      <c r="F817" s="10">
        <f>F818+F822+F823+F824+F825+F826+F828+F827+F829+F830+F831</f>
        <v>62304.66</v>
      </c>
      <c r="G817" s="10" t="s">
        <v>1314</v>
      </c>
      <c r="H817" s="10">
        <f>H818+H822+H823+H824+H825+H826+H828+H827+H829+H830+H831</f>
        <v>62294.66</v>
      </c>
    </row>
    <row r="818" spans="1:8" ht="36" x14ac:dyDescent="0.2">
      <c r="A818" s="47"/>
      <c r="B818" s="47"/>
      <c r="C818" s="14" t="s">
        <v>98</v>
      </c>
      <c r="D818" s="33" t="s">
        <v>862</v>
      </c>
      <c r="E818" s="10">
        <f>E819+E820+E821</f>
        <v>54950</v>
      </c>
      <c r="F818" s="10">
        <f>F819+F820+F821</f>
        <v>19101.73</v>
      </c>
      <c r="G818" s="10" t="s">
        <v>1315</v>
      </c>
      <c r="H818" s="10">
        <f>H819+H820+H821</f>
        <v>19101.73</v>
      </c>
    </row>
    <row r="819" spans="1:8" ht="36" x14ac:dyDescent="0.2">
      <c r="A819" s="47"/>
      <c r="B819" s="47"/>
      <c r="C819" s="14" t="s">
        <v>100</v>
      </c>
      <c r="D819" s="33" t="s">
        <v>858</v>
      </c>
      <c r="E819" s="10">
        <f>33572.7</f>
        <v>33572.699999999997</v>
      </c>
      <c r="F819" s="10">
        <v>7916.86</v>
      </c>
      <c r="G819" s="10" t="s">
        <v>1316</v>
      </c>
      <c r="H819" s="10">
        <v>7916.86</v>
      </c>
    </row>
    <row r="820" spans="1:8" ht="24" x14ac:dyDescent="0.2">
      <c r="A820" s="47"/>
      <c r="B820" s="47"/>
      <c r="C820" s="14" t="s">
        <v>102</v>
      </c>
      <c r="D820" s="33" t="s">
        <v>863</v>
      </c>
      <c r="E820" s="10">
        <f>0</f>
        <v>0</v>
      </c>
      <c r="F820" s="10">
        <f>0</f>
        <v>0</v>
      </c>
      <c r="G820" s="10" t="s">
        <v>1158</v>
      </c>
      <c r="H820" s="10">
        <f>0</f>
        <v>0</v>
      </c>
    </row>
    <row r="821" spans="1:8" ht="36" x14ac:dyDescent="0.2">
      <c r="A821" s="47"/>
      <c r="B821" s="47"/>
      <c r="C821" s="14" t="s">
        <v>789</v>
      </c>
      <c r="D821" s="33" t="s">
        <v>860</v>
      </c>
      <c r="E821" s="10">
        <f>21377.3</f>
        <v>21377.3</v>
      </c>
      <c r="F821" s="10">
        <v>11184.87</v>
      </c>
      <c r="G821" s="10" t="s">
        <v>1317</v>
      </c>
      <c r="H821" s="10">
        <v>11184.87</v>
      </c>
    </row>
    <row r="822" spans="1:8" ht="60" x14ac:dyDescent="0.2">
      <c r="A822" s="47"/>
      <c r="B822" s="47"/>
      <c r="C822" s="14" t="s">
        <v>190</v>
      </c>
      <c r="D822" s="33" t="s">
        <v>864</v>
      </c>
      <c r="E822" s="10">
        <f>0</f>
        <v>0</v>
      </c>
      <c r="F822" s="10">
        <f>0</f>
        <v>0</v>
      </c>
      <c r="G822" s="10" t="s">
        <v>1158</v>
      </c>
      <c r="H822" s="10">
        <f>0</f>
        <v>0</v>
      </c>
    </row>
    <row r="823" spans="1:8" ht="60" x14ac:dyDescent="0.2">
      <c r="A823" s="47"/>
      <c r="B823" s="47"/>
      <c r="C823" s="14" t="s">
        <v>192</v>
      </c>
      <c r="D823" s="33" t="s">
        <v>865</v>
      </c>
      <c r="E823" s="10">
        <f>0</f>
        <v>0</v>
      </c>
      <c r="F823" s="10">
        <f>0</f>
        <v>0</v>
      </c>
      <c r="G823" s="10" t="s">
        <v>1158</v>
      </c>
      <c r="H823" s="10">
        <f>0</f>
        <v>0</v>
      </c>
    </row>
    <row r="824" spans="1:8" ht="24" x14ac:dyDescent="0.2">
      <c r="A824" s="47"/>
      <c r="B824" s="47"/>
      <c r="C824" s="14" t="s">
        <v>194</v>
      </c>
      <c r="D824" s="33" t="s">
        <v>866</v>
      </c>
      <c r="E824" s="10">
        <f>0</f>
        <v>0</v>
      </c>
      <c r="F824" s="10">
        <f>0</f>
        <v>0</v>
      </c>
      <c r="G824" s="10" t="s">
        <v>1158</v>
      </c>
      <c r="H824" s="10">
        <f>0</f>
        <v>0</v>
      </c>
    </row>
    <row r="825" spans="1:8" ht="36" x14ac:dyDescent="0.2">
      <c r="A825" s="47"/>
      <c r="B825" s="47"/>
      <c r="C825" s="14" t="s">
        <v>196</v>
      </c>
      <c r="D825" s="33" t="s">
        <v>867</v>
      </c>
      <c r="E825" s="10">
        <f>0</f>
        <v>0</v>
      </c>
      <c r="F825" s="10">
        <f>0</f>
        <v>0</v>
      </c>
      <c r="G825" s="10" t="s">
        <v>1158</v>
      </c>
      <c r="H825" s="10">
        <f>0</f>
        <v>0</v>
      </c>
    </row>
    <row r="826" spans="1:8" ht="48" x14ac:dyDescent="0.2">
      <c r="A826" s="47"/>
      <c r="B826" s="47"/>
      <c r="C826" s="14" t="s">
        <v>198</v>
      </c>
      <c r="D826" s="33" t="s">
        <v>868</v>
      </c>
      <c r="E826" s="10">
        <f>71865.1</f>
        <v>71865.100000000006</v>
      </c>
      <c r="F826" s="10">
        <v>43192.93</v>
      </c>
      <c r="G826" s="10" t="s">
        <v>1318</v>
      </c>
      <c r="H826" s="10">
        <v>43192.93</v>
      </c>
    </row>
    <row r="827" spans="1:8" ht="48" x14ac:dyDescent="0.2">
      <c r="A827" s="47"/>
      <c r="B827" s="47"/>
      <c r="C827" s="14" t="s">
        <v>200</v>
      </c>
      <c r="D827" s="33" t="s">
        <v>869</v>
      </c>
      <c r="E827" s="10">
        <f>20</f>
        <v>20</v>
      </c>
      <c r="F827" s="10">
        <v>10</v>
      </c>
      <c r="G827" s="10" t="s">
        <v>973</v>
      </c>
      <c r="H827" s="10">
        <f>0</f>
        <v>0</v>
      </c>
    </row>
    <row r="828" spans="1:8" ht="48" x14ac:dyDescent="0.2">
      <c r="A828" s="47"/>
      <c r="B828" s="47"/>
      <c r="C828" s="14" t="s">
        <v>306</v>
      </c>
      <c r="D828" s="33" t="s">
        <v>870</v>
      </c>
      <c r="E828" s="10">
        <f>0</f>
        <v>0</v>
      </c>
      <c r="F828" s="10">
        <f>0</f>
        <v>0</v>
      </c>
      <c r="G828" s="10" t="s">
        <v>1158</v>
      </c>
      <c r="H828" s="10">
        <f>0</f>
        <v>0</v>
      </c>
    </row>
    <row r="829" spans="1:8" ht="36" x14ac:dyDescent="0.2">
      <c r="A829" s="47"/>
      <c r="B829" s="47"/>
      <c r="C829" s="14" t="s">
        <v>308</v>
      </c>
      <c r="D829" s="33" t="s">
        <v>871</v>
      </c>
      <c r="E829" s="10">
        <f>150</f>
        <v>150</v>
      </c>
      <c r="F829" s="10">
        <f>0</f>
        <v>0</v>
      </c>
      <c r="G829" s="10" t="s">
        <v>165</v>
      </c>
      <c r="H829" s="10">
        <f>0</f>
        <v>0</v>
      </c>
    </row>
    <row r="830" spans="1:8" ht="48" x14ac:dyDescent="0.2">
      <c r="A830" s="47"/>
      <c r="B830" s="47"/>
      <c r="C830" s="14" t="s">
        <v>310</v>
      </c>
      <c r="D830" s="33" t="s">
        <v>872</v>
      </c>
      <c r="E830" s="10">
        <f>0</f>
        <v>0</v>
      </c>
      <c r="F830" s="10">
        <f>0</f>
        <v>0</v>
      </c>
      <c r="G830" s="10" t="s">
        <v>1158</v>
      </c>
      <c r="H830" s="10">
        <f>0</f>
        <v>0</v>
      </c>
    </row>
    <row r="831" spans="1:8" ht="48" x14ac:dyDescent="0.2">
      <c r="A831" s="47"/>
      <c r="B831" s="47"/>
      <c r="C831" s="14" t="s">
        <v>312</v>
      </c>
      <c r="D831" s="33" t="s">
        <v>873</v>
      </c>
      <c r="E831" s="10">
        <f>340</f>
        <v>340</v>
      </c>
      <c r="F831" s="10">
        <f>0</f>
        <v>0</v>
      </c>
      <c r="G831" s="10" t="s">
        <v>165</v>
      </c>
      <c r="H831" s="10">
        <f>0</f>
        <v>0</v>
      </c>
    </row>
    <row r="832" spans="1:8" ht="48" x14ac:dyDescent="0.2">
      <c r="A832" s="47"/>
      <c r="B832" s="47"/>
      <c r="C832" s="11" t="s">
        <v>202</v>
      </c>
      <c r="D832" s="33" t="s">
        <v>874</v>
      </c>
      <c r="E832" s="10">
        <f>E833+E834</f>
        <v>212.5</v>
      </c>
      <c r="F832" s="10">
        <f>F833+F834</f>
        <v>0</v>
      </c>
      <c r="G832" s="10" t="s">
        <v>165</v>
      </c>
      <c r="H832" s="10">
        <f>H833+H834</f>
        <v>0</v>
      </c>
    </row>
    <row r="833" spans="1:8" ht="48" x14ac:dyDescent="0.2">
      <c r="A833" s="47"/>
      <c r="B833" s="47"/>
      <c r="C833" s="14" t="s">
        <v>104</v>
      </c>
      <c r="D833" s="33" t="s">
        <v>875</v>
      </c>
      <c r="E833" s="10">
        <f>212.5</f>
        <v>212.5</v>
      </c>
      <c r="F833" s="10">
        <f>0</f>
        <v>0</v>
      </c>
      <c r="G833" s="10" t="s">
        <v>165</v>
      </c>
      <c r="H833" s="10">
        <f>0</f>
        <v>0</v>
      </c>
    </row>
    <row r="834" spans="1:8" ht="24" x14ac:dyDescent="0.2">
      <c r="A834" s="47"/>
      <c r="B834" s="47"/>
      <c r="C834" s="14" t="s">
        <v>205</v>
      </c>
      <c r="D834" s="33" t="s">
        <v>876</v>
      </c>
      <c r="E834" s="10">
        <f>0</f>
        <v>0</v>
      </c>
      <c r="F834" s="10">
        <f>0</f>
        <v>0</v>
      </c>
      <c r="G834" s="10" t="s">
        <v>1158</v>
      </c>
      <c r="H834" s="10">
        <f>0</f>
        <v>0</v>
      </c>
    </row>
    <row r="835" spans="1:8" ht="36" x14ac:dyDescent="0.2">
      <c r="A835" s="47"/>
      <c r="B835" s="47"/>
      <c r="C835" s="11" t="s">
        <v>209</v>
      </c>
      <c r="D835" s="33" t="s">
        <v>877</v>
      </c>
      <c r="E835" s="10">
        <f>E836+E837+E838+E839</f>
        <v>0</v>
      </c>
      <c r="F835" s="10">
        <f>F836+F837+F838+F839</f>
        <v>0</v>
      </c>
      <c r="G835" s="10" t="s">
        <v>1158</v>
      </c>
      <c r="H835" s="10">
        <f>H836+H837+H838+H839</f>
        <v>0</v>
      </c>
    </row>
    <row r="836" spans="1:8" ht="36" x14ac:dyDescent="0.2">
      <c r="A836" s="47"/>
      <c r="B836" s="47"/>
      <c r="C836" s="14" t="s">
        <v>112</v>
      </c>
      <c r="D836" s="33" t="s">
        <v>878</v>
      </c>
      <c r="E836" s="10">
        <f>0</f>
        <v>0</v>
      </c>
      <c r="F836" s="10">
        <f>0</f>
        <v>0</v>
      </c>
      <c r="G836" s="10" t="s">
        <v>1158</v>
      </c>
      <c r="H836" s="10">
        <f>0</f>
        <v>0</v>
      </c>
    </row>
    <row r="837" spans="1:8" ht="48" x14ac:dyDescent="0.2">
      <c r="A837" s="47"/>
      <c r="B837" s="47"/>
      <c r="C837" s="14" t="s">
        <v>212</v>
      </c>
      <c r="D837" s="33" t="s">
        <v>879</v>
      </c>
      <c r="E837" s="10">
        <f>0</f>
        <v>0</v>
      </c>
      <c r="F837" s="10">
        <f>0</f>
        <v>0</v>
      </c>
      <c r="G837" s="10" t="s">
        <v>1158</v>
      </c>
      <c r="H837" s="10">
        <f>0</f>
        <v>0</v>
      </c>
    </row>
    <row r="838" spans="1:8" ht="48" x14ac:dyDescent="0.2">
      <c r="A838" s="47"/>
      <c r="B838" s="47"/>
      <c r="C838" s="14" t="s">
        <v>249</v>
      </c>
      <c r="D838" s="33" t="s">
        <v>880</v>
      </c>
      <c r="E838" s="10">
        <f>0</f>
        <v>0</v>
      </c>
      <c r="F838" s="10">
        <f>0</f>
        <v>0</v>
      </c>
      <c r="G838" s="10" t="s">
        <v>1158</v>
      </c>
      <c r="H838" s="10">
        <f>0</f>
        <v>0</v>
      </c>
    </row>
    <row r="839" spans="1:8" ht="24" x14ac:dyDescent="0.2">
      <c r="A839" s="47"/>
      <c r="B839" s="47"/>
      <c r="C839" s="14" t="s">
        <v>251</v>
      </c>
      <c r="D839" s="33" t="s">
        <v>881</v>
      </c>
      <c r="E839" s="10">
        <f>0</f>
        <v>0</v>
      </c>
      <c r="F839" s="10">
        <f>0</f>
        <v>0</v>
      </c>
      <c r="G839" s="10" t="s">
        <v>1158</v>
      </c>
      <c r="H839" s="10">
        <f>0</f>
        <v>0</v>
      </c>
    </row>
    <row r="840" spans="1:8" ht="24" x14ac:dyDescent="0.2">
      <c r="A840" s="47"/>
      <c r="B840" s="47"/>
      <c r="C840" s="11" t="s">
        <v>214</v>
      </c>
      <c r="D840" s="33" t="s">
        <v>882</v>
      </c>
      <c r="E840" s="10">
        <f>E841</f>
        <v>0</v>
      </c>
      <c r="F840" s="10">
        <f>F841</f>
        <v>0</v>
      </c>
      <c r="G840" s="10" t="s">
        <v>1158</v>
      </c>
      <c r="H840" s="10">
        <f>H841</f>
        <v>0</v>
      </c>
    </row>
    <row r="841" spans="1:8" ht="36" x14ac:dyDescent="0.2">
      <c r="A841" s="47"/>
      <c r="B841" s="47"/>
      <c r="C841" s="14" t="s">
        <v>120</v>
      </c>
      <c r="D841" s="33" t="s">
        <v>883</v>
      </c>
      <c r="E841" s="10">
        <f>0</f>
        <v>0</v>
      </c>
      <c r="F841" s="10">
        <f>0</f>
        <v>0</v>
      </c>
      <c r="G841" s="10" t="s">
        <v>1158</v>
      </c>
      <c r="H841" s="10">
        <f>0</f>
        <v>0</v>
      </c>
    </row>
    <row r="842" spans="1:8" ht="48" x14ac:dyDescent="0.2">
      <c r="A842" s="47"/>
      <c r="B842" s="47"/>
      <c r="C842" s="11" t="s">
        <v>258</v>
      </c>
      <c r="D842" s="33" t="s">
        <v>884</v>
      </c>
      <c r="E842" s="10">
        <f>0</f>
        <v>0</v>
      </c>
      <c r="F842" s="10">
        <f>0</f>
        <v>0</v>
      </c>
      <c r="G842" s="10" t="s">
        <v>1158</v>
      </c>
      <c r="H842" s="10">
        <f>0</f>
        <v>0</v>
      </c>
    </row>
    <row r="843" spans="1:8" ht="48" x14ac:dyDescent="0.2">
      <c r="A843" s="47"/>
      <c r="B843" s="47"/>
      <c r="C843" s="11" t="s">
        <v>579</v>
      </c>
      <c r="D843" s="33" t="s">
        <v>885</v>
      </c>
      <c r="E843" s="10">
        <f>0</f>
        <v>0</v>
      </c>
      <c r="F843" s="10">
        <f>0</f>
        <v>0</v>
      </c>
      <c r="G843" s="10" t="s">
        <v>1158</v>
      </c>
      <c r="H843" s="10">
        <f>0</f>
        <v>0</v>
      </c>
    </row>
    <row r="844" spans="1:8" ht="36" x14ac:dyDescent="0.2">
      <c r="A844" s="47"/>
      <c r="B844" s="47"/>
      <c r="C844" s="11" t="s">
        <v>851</v>
      </c>
      <c r="D844" s="33" t="s">
        <v>886</v>
      </c>
      <c r="E844" s="10">
        <f>0</f>
        <v>0</v>
      </c>
      <c r="F844" s="10">
        <f>0</f>
        <v>0</v>
      </c>
      <c r="G844" s="10" t="s">
        <v>1158</v>
      </c>
      <c r="H844" s="10">
        <f>0</f>
        <v>0</v>
      </c>
    </row>
    <row r="845" spans="1:8" ht="36" x14ac:dyDescent="0.2">
      <c r="A845" s="47"/>
      <c r="B845" s="47"/>
      <c r="C845" s="11" t="s">
        <v>887</v>
      </c>
      <c r="D845" s="33" t="s">
        <v>888</v>
      </c>
      <c r="E845" s="10">
        <f>0</f>
        <v>0</v>
      </c>
      <c r="F845" s="10">
        <f>0</f>
        <v>0</v>
      </c>
      <c r="G845" s="10" t="s">
        <v>1158</v>
      </c>
      <c r="H845" s="10">
        <f>0</f>
        <v>0</v>
      </c>
    </row>
    <row r="846" spans="1:8" ht="36" x14ac:dyDescent="0.2">
      <c r="A846" s="47"/>
      <c r="B846" s="47"/>
      <c r="C846" s="11" t="s">
        <v>889</v>
      </c>
      <c r="D846" s="33" t="s">
        <v>890</v>
      </c>
      <c r="E846" s="10">
        <f>0</f>
        <v>0</v>
      </c>
      <c r="F846" s="10">
        <f>0</f>
        <v>0</v>
      </c>
      <c r="G846" s="10" t="s">
        <v>1158</v>
      </c>
      <c r="H846" s="10">
        <f>0</f>
        <v>0</v>
      </c>
    </row>
    <row r="847" spans="1:8" s="19" customFormat="1" ht="36" x14ac:dyDescent="0.2">
      <c r="A847" s="47"/>
      <c r="B847" s="47"/>
      <c r="C847" s="13" t="s">
        <v>12</v>
      </c>
      <c r="D847" s="32" t="s">
        <v>620</v>
      </c>
      <c r="E847" s="17">
        <f>E848+E851+E854+E855+E856+E857</f>
        <v>28582.31</v>
      </c>
      <c r="F847" s="17">
        <f>F848+F851+F854+F855+F856+F857</f>
        <v>11740.58</v>
      </c>
      <c r="G847" s="17" t="s">
        <v>1319</v>
      </c>
      <c r="H847" s="17">
        <f>H848+H851+H854+H855+H856+H857</f>
        <v>11740.58</v>
      </c>
    </row>
    <row r="848" spans="1:8" ht="48" x14ac:dyDescent="0.2">
      <c r="A848" s="47"/>
      <c r="B848" s="47"/>
      <c r="C848" s="11" t="s">
        <v>178</v>
      </c>
      <c r="D848" s="33" t="s">
        <v>891</v>
      </c>
      <c r="E848" s="10">
        <f>E849+E850</f>
        <v>0</v>
      </c>
      <c r="F848" s="10">
        <f>F849+F850</f>
        <v>0</v>
      </c>
      <c r="G848" s="10" t="s">
        <v>1158</v>
      </c>
      <c r="H848" s="10">
        <f>H849+H850</f>
        <v>0</v>
      </c>
    </row>
    <row r="849" spans="1:8" ht="24" x14ac:dyDescent="0.2">
      <c r="A849" s="47"/>
      <c r="B849" s="47"/>
      <c r="C849" s="14" t="s">
        <v>14</v>
      </c>
      <c r="D849" s="33" t="s">
        <v>892</v>
      </c>
      <c r="E849" s="10">
        <f>0</f>
        <v>0</v>
      </c>
      <c r="F849" s="10">
        <f>0</f>
        <v>0</v>
      </c>
      <c r="G849" s="10" t="s">
        <v>1158</v>
      </c>
      <c r="H849" s="10">
        <f>0</f>
        <v>0</v>
      </c>
    </row>
    <row r="850" spans="1:8" ht="24" x14ac:dyDescent="0.2">
      <c r="A850" s="47"/>
      <c r="B850" s="47"/>
      <c r="C850" s="14" t="s">
        <v>15</v>
      </c>
      <c r="D850" s="33" t="s">
        <v>893</v>
      </c>
      <c r="E850" s="10">
        <f>0</f>
        <v>0</v>
      </c>
      <c r="F850" s="10">
        <f>0</f>
        <v>0</v>
      </c>
      <c r="G850" s="10" t="s">
        <v>1158</v>
      </c>
      <c r="H850" s="10">
        <f>0</f>
        <v>0</v>
      </c>
    </row>
    <row r="851" spans="1:8" ht="24" x14ac:dyDescent="0.2">
      <c r="A851" s="47"/>
      <c r="B851" s="47"/>
      <c r="C851" s="11" t="s">
        <v>187</v>
      </c>
      <c r="D851" s="33" t="s">
        <v>894</v>
      </c>
      <c r="E851" s="10">
        <f>E852+E853</f>
        <v>0</v>
      </c>
      <c r="F851" s="10">
        <f>F852+F853</f>
        <v>0</v>
      </c>
      <c r="G851" s="10" t="s">
        <v>1158</v>
      </c>
      <c r="H851" s="10">
        <f>H852+H853</f>
        <v>0</v>
      </c>
    </row>
    <row r="852" spans="1:8" ht="24" x14ac:dyDescent="0.2">
      <c r="A852" s="47"/>
      <c r="B852" s="47"/>
      <c r="C852" s="14" t="s">
        <v>98</v>
      </c>
      <c r="D852" s="33" t="s">
        <v>892</v>
      </c>
      <c r="E852" s="10">
        <f>0</f>
        <v>0</v>
      </c>
      <c r="F852" s="10">
        <f>0</f>
        <v>0</v>
      </c>
      <c r="G852" s="10" t="s">
        <v>1158</v>
      </c>
      <c r="H852" s="10">
        <f>0</f>
        <v>0</v>
      </c>
    </row>
    <row r="853" spans="1:8" ht="24" x14ac:dyDescent="0.2">
      <c r="A853" s="47"/>
      <c r="B853" s="47"/>
      <c r="C853" s="14" t="s">
        <v>190</v>
      </c>
      <c r="D853" s="33" t="s">
        <v>893</v>
      </c>
      <c r="E853" s="10">
        <f>0</f>
        <v>0</v>
      </c>
      <c r="F853" s="10">
        <f>0</f>
        <v>0</v>
      </c>
      <c r="G853" s="10" t="s">
        <v>1158</v>
      </c>
      <c r="H853" s="10">
        <f>0</f>
        <v>0</v>
      </c>
    </row>
    <row r="854" spans="1:8" ht="36" x14ac:dyDescent="0.2">
      <c r="A854" s="47"/>
      <c r="B854" s="47"/>
      <c r="C854" s="11" t="s">
        <v>202</v>
      </c>
      <c r="D854" s="33" t="s">
        <v>895</v>
      </c>
      <c r="E854" s="10">
        <f>11661.59</f>
        <v>11661.59</v>
      </c>
      <c r="F854" s="10">
        <v>4265.1099999999997</v>
      </c>
      <c r="G854" s="10" t="s">
        <v>1320</v>
      </c>
      <c r="H854" s="10">
        <v>4265.1099999999997</v>
      </c>
    </row>
    <row r="855" spans="1:8" ht="36" x14ac:dyDescent="0.2">
      <c r="A855" s="47"/>
      <c r="B855" s="47"/>
      <c r="C855" s="11" t="s">
        <v>209</v>
      </c>
      <c r="D855" s="33" t="s">
        <v>893</v>
      </c>
      <c r="E855" s="10">
        <f>326.8</f>
        <v>326.8</v>
      </c>
      <c r="F855" s="10">
        <v>76.48</v>
      </c>
      <c r="G855" s="10" t="s">
        <v>1321</v>
      </c>
      <c r="H855" s="10">
        <v>76.48</v>
      </c>
    </row>
    <row r="856" spans="1:8" ht="36" x14ac:dyDescent="0.2">
      <c r="A856" s="47"/>
      <c r="B856" s="47"/>
      <c r="C856" s="11" t="s">
        <v>214</v>
      </c>
      <c r="D856" s="33" t="s">
        <v>896</v>
      </c>
      <c r="E856" s="10">
        <f>15601.19</f>
        <v>15601.19</v>
      </c>
      <c r="F856" s="10">
        <v>7136.2</v>
      </c>
      <c r="G856" s="10" t="s">
        <v>1322</v>
      </c>
      <c r="H856" s="10">
        <v>7136.2</v>
      </c>
    </row>
    <row r="857" spans="1:8" ht="36" x14ac:dyDescent="0.2">
      <c r="A857" s="47"/>
      <c r="B857" s="47"/>
      <c r="C857" s="11" t="s">
        <v>258</v>
      </c>
      <c r="D857" s="33" t="s">
        <v>897</v>
      </c>
      <c r="E857" s="10">
        <f>992.73</f>
        <v>992.73</v>
      </c>
      <c r="F857" s="10">
        <v>262.79000000000002</v>
      </c>
      <c r="G857" s="10" t="s">
        <v>1323</v>
      </c>
      <c r="H857" s="10">
        <v>262.79000000000002</v>
      </c>
    </row>
    <row r="858" spans="1:8" ht="24" x14ac:dyDescent="0.2">
      <c r="A858" s="47"/>
      <c r="B858" s="47"/>
      <c r="C858" s="54" t="s">
        <v>13</v>
      </c>
      <c r="D858" s="72"/>
      <c r="E858" s="21">
        <f>E699+E749+E811+E847</f>
        <v>1785867.8800000004</v>
      </c>
      <c r="F858" s="21">
        <f>F699+F749+F811+F847</f>
        <v>787117.2699999999</v>
      </c>
      <c r="G858" s="75" t="s">
        <v>1324</v>
      </c>
      <c r="H858" s="21">
        <f>H699+H749+H811+H847</f>
        <v>770359.53</v>
      </c>
    </row>
    <row r="859" spans="1:8" s="19" customFormat="1" ht="48" x14ac:dyDescent="0.2">
      <c r="A859" s="47">
        <v>13</v>
      </c>
      <c r="B859" s="47" t="s">
        <v>155</v>
      </c>
      <c r="C859" s="13" t="s">
        <v>9</v>
      </c>
      <c r="D859" s="32" t="s">
        <v>898</v>
      </c>
      <c r="E859" s="17">
        <f>E860+E867+E869+E874+E879</f>
        <v>22358.03</v>
      </c>
      <c r="F859" s="17">
        <f>F860+F867+F869+F874+F879</f>
        <v>3129.77</v>
      </c>
      <c r="G859" s="17" t="s">
        <v>1039</v>
      </c>
      <c r="H859" s="17">
        <f>H860+H867+H869+H874+H879</f>
        <v>3129.77</v>
      </c>
    </row>
    <row r="860" spans="1:8" ht="36" x14ac:dyDescent="0.2">
      <c r="A860" s="47"/>
      <c r="B860" s="47"/>
      <c r="C860" s="11" t="s">
        <v>178</v>
      </c>
      <c r="D860" s="33" t="s">
        <v>899</v>
      </c>
      <c r="E860" s="10">
        <f>E861+E862+E863+E864+E865+E866</f>
        <v>17218.099999999999</v>
      </c>
      <c r="F860" s="10">
        <f>F861+F862+F863+F864+F866+F865</f>
        <v>2587.38</v>
      </c>
      <c r="G860" s="10" t="s">
        <v>1040</v>
      </c>
      <c r="H860" s="10">
        <f>H861+H862+H863+H864+H866+H865</f>
        <v>2587.38</v>
      </c>
    </row>
    <row r="861" spans="1:8" ht="48" x14ac:dyDescent="0.2">
      <c r="A861" s="47"/>
      <c r="B861" s="47"/>
      <c r="C861" s="14" t="s">
        <v>14</v>
      </c>
      <c r="D861" s="33" t="s">
        <v>900</v>
      </c>
      <c r="E861" s="10">
        <f>0</f>
        <v>0</v>
      </c>
      <c r="F861" s="10">
        <f>0</f>
        <v>0</v>
      </c>
      <c r="G861" s="10" t="s">
        <v>1158</v>
      </c>
      <c r="H861" s="10">
        <f>0</f>
        <v>0</v>
      </c>
    </row>
    <row r="862" spans="1:8" ht="156" x14ac:dyDescent="0.2">
      <c r="A862" s="47"/>
      <c r="B862" s="47"/>
      <c r="C862" s="14" t="s">
        <v>15</v>
      </c>
      <c r="D862" s="33" t="s">
        <v>901</v>
      </c>
      <c r="E862" s="10">
        <f>0</f>
        <v>0</v>
      </c>
      <c r="F862" s="10">
        <f>0</f>
        <v>0</v>
      </c>
      <c r="G862" s="10" t="s">
        <v>1158</v>
      </c>
      <c r="H862" s="10">
        <f>0</f>
        <v>0</v>
      </c>
    </row>
    <row r="863" spans="1:8" ht="48" x14ac:dyDescent="0.2">
      <c r="A863" s="47"/>
      <c r="B863" s="47"/>
      <c r="C863" s="14" t="s">
        <v>17</v>
      </c>
      <c r="D863" s="33" t="s">
        <v>902</v>
      </c>
      <c r="E863" s="10">
        <f>2369.1</f>
        <v>2369.1</v>
      </c>
      <c r="F863" s="10">
        <f>773.38</f>
        <v>773.38</v>
      </c>
      <c r="G863" s="10" t="s">
        <v>1041</v>
      </c>
      <c r="H863" s="10">
        <f>773.38</f>
        <v>773.38</v>
      </c>
    </row>
    <row r="864" spans="1:8" ht="84" x14ac:dyDescent="0.2">
      <c r="A864" s="47"/>
      <c r="B864" s="47"/>
      <c r="C864" s="14" t="s">
        <v>19</v>
      </c>
      <c r="D864" s="33" t="s">
        <v>903</v>
      </c>
      <c r="E864" s="10">
        <f>0</f>
        <v>0</v>
      </c>
      <c r="F864" s="10">
        <f>0</f>
        <v>0</v>
      </c>
      <c r="G864" s="10" t="s">
        <v>1158</v>
      </c>
      <c r="H864" s="10">
        <f>0</f>
        <v>0</v>
      </c>
    </row>
    <row r="865" spans="1:8" ht="36" x14ac:dyDescent="0.2">
      <c r="A865" s="47"/>
      <c r="B865" s="47"/>
      <c r="C865" s="14" t="s">
        <v>21</v>
      </c>
      <c r="D865" s="33" t="s">
        <v>904</v>
      </c>
      <c r="E865" s="10">
        <f>14849</f>
        <v>14849</v>
      </c>
      <c r="F865" s="10">
        <f>1814</f>
        <v>1814</v>
      </c>
      <c r="G865" s="10" t="s">
        <v>966</v>
      </c>
      <c r="H865" s="10">
        <f>1814</f>
        <v>1814</v>
      </c>
    </row>
    <row r="866" spans="1:8" ht="48" x14ac:dyDescent="0.2">
      <c r="A866" s="47"/>
      <c r="B866" s="47"/>
      <c r="C866" s="14" t="s">
        <v>23</v>
      </c>
      <c r="D866" s="33" t="s">
        <v>905</v>
      </c>
      <c r="E866" s="10">
        <f>0</f>
        <v>0</v>
      </c>
      <c r="F866" s="10">
        <f>0</f>
        <v>0</v>
      </c>
      <c r="G866" s="10" t="s">
        <v>1158</v>
      </c>
      <c r="H866" s="10">
        <f>0</f>
        <v>0</v>
      </c>
    </row>
    <row r="867" spans="1:8" ht="36" x14ac:dyDescent="0.2">
      <c r="A867" s="47"/>
      <c r="B867" s="47"/>
      <c r="C867" s="11" t="s">
        <v>187</v>
      </c>
      <c r="D867" s="33" t="s">
        <v>906</v>
      </c>
      <c r="E867" s="10">
        <f>E868</f>
        <v>950</v>
      </c>
      <c r="F867" s="10">
        <f>F868</f>
        <v>103.29</v>
      </c>
      <c r="G867" s="10" t="s">
        <v>1042</v>
      </c>
      <c r="H867" s="10">
        <f>H868</f>
        <v>103.29</v>
      </c>
    </row>
    <row r="868" spans="1:8" ht="192" x14ac:dyDescent="0.2">
      <c r="A868" s="47"/>
      <c r="B868" s="47"/>
      <c r="C868" s="14" t="s">
        <v>98</v>
      </c>
      <c r="D868" s="33" t="s">
        <v>907</v>
      </c>
      <c r="E868" s="10">
        <f>950</f>
        <v>950</v>
      </c>
      <c r="F868" s="10">
        <f>103.29</f>
        <v>103.29</v>
      </c>
      <c r="G868" s="10" t="s">
        <v>1042</v>
      </c>
      <c r="H868" s="10">
        <f>103.29</f>
        <v>103.29</v>
      </c>
    </row>
    <row r="869" spans="1:8" ht="24" x14ac:dyDescent="0.2">
      <c r="A869" s="47"/>
      <c r="B869" s="47"/>
      <c r="C869" s="11" t="s">
        <v>202</v>
      </c>
      <c r="D869" s="33" t="s">
        <v>908</v>
      </c>
      <c r="E869" s="10">
        <f>E870+E871+E872+E873</f>
        <v>4189.93</v>
      </c>
      <c r="F869" s="10">
        <f>F870+F871+F872+F873</f>
        <v>439.1</v>
      </c>
      <c r="G869" s="10" t="s">
        <v>1325</v>
      </c>
      <c r="H869" s="10">
        <f>H870+H871+H872+H873</f>
        <v>439.1</v>
      </c>
    </row>
    <row r="870" spans="1:8" ht="36" x14ac:dyDescent="0.2">
      <c r="A870" s="47"/>
      <c r="B870" s="47"/>
      <c r="C870" s="14" t="s">
        <v>104</v>
      </c>
      <c r="D870" s="33" t="s">
        <v>909</v>
      </c>
      <c r="E870" s="10">
        <f>700</f>
        <v>700</v>
      </c>
      <c r="F870" s="10">
        <f>0</f>
        <v>0</v>
      </c>
      <c r="G870" s="10" t="s">
        <v>165</v>
      </c>
      <c r="H870" s="10">
        <f>0</f>
        <v>0</v>
      </c>
    </row>
    <row r="871" spans="1:8" ht="60" x14ac:dyDescent="0.2">
      <c r="A871" s="47"/>
      <c r="B871" s="47"/>
      <c r="C871" s="14" t="s">
        <v>205</v>
      </c>
      <c r="D871" s="33" t="s">
        <v>910</v>
      </c>
      <c r="E871" s="10">
        <f>361.91</f>
        <v>361.91</v>
      </c>
      <c r="F871" s="10">
        <f>38.36</f>
        <v>38.36</v>
      </c>
      <c r="G871" s="10" t="s">
        <v>1043</v>
      </c>
      <c r="H871" s="10">
        <f>38.36</f>
        <v>38.36</v>
      </c>
    </row>
    <row r="872" spans="1:8" ht="48" x14ac:dyDescent="0.2">
      <c r="A872" s="47"/>
      <c r="B872" s="47"/>
      <c r="C872" s="14" t="s">
        <v>207</v>
      </c>
      <c r="D872" s="33" t="s">
        <v>911</v>
      </c>
      <c r="E872" s="10">
        <f>928.02</f>
        <v>928.02</v>
      </c>
      <c r="F872" s="10">
        <f>340.85</f>
        <v>340.85</v>
      </c>
      <c r="G872" s="10" t="s">
        <v>1044</v>
      </c>
      <c r="H872" s="10">
        <f>340.85</f>
        <v>340.85</v>
      </c>
    </row>
    <row r="873" spans="1:8" ht="36" x14ac:dyDescent="0.2">
      <c r="A873" s="47"/>
      <c r="B873" s="47"/>
      <c r="C873" s="14" t="s">
        <v>244</v>
      </c>
      <c r="D873" s="33" t="s">
        <v>912</v>
      </c>
      <c r="E873" s="10">
        <f>1720+480</f>
        <v>2200</v>
      </c>
      <c r="F873" s="10">
        <f>59.89</f>
        <v>59.89</v>
      </c>
      <c r="G873" s="10" t="s">
        <v>1018</v>
      </c>
      <c r="H873" s="10">
        <f>59.89</f>
        <v>59.89</v>
      </c>
    </row>
    <row r="874" spans="1:8" ht="24" x14ac:dyDescent="0.2">
      <c r="A874" s="47"/>
      <c r="B874" s="47"/>
      <c r="C874" s="11" t="s">
        <v>209</v>
      </c>
      <c r="D874" s="33" t="s">
        <v>913</v>
      </c>
      <c r="E874" s="10">
        <f>E875+E876+E877+E878</f>
        <v>0</v>
      </c>
      <c r="F874" s="10">
        <f>F875+F876+F877+F878</f>
        <v>0</v>
      </c>
      <c r="G874" s="10" t="s">
        <v>1158</v>
      </c>
      <c r="H874" s="10">
        <f>H875+H876+H877+H878</f>
        <v>0</v>
      </c>
    </row>
    <row r="875" spans="1:8" ht="36" x14ac:dyDescent="0.2">
      <c r="A875" s="47"/>
      <c r="B875" s="47"/>
      <c r="C875" s="14" t="s">
        <v>112</v>
      </c>
      <c r="D875" s="33" t="s">
        <v>914</v>
      </c>
      <c r="E875" s="10">
        <f>0</f>
        <v>0</v>
      </c>
      <c r="F875" s="10">
        <f>0</f>
        <v>0</v>
      </c>
      <c r="G875" s="10" t="s">
        <v>1158</v>
      </c>
      <c r="H875" s="10">
        <f>0</f>
        <v>0</v>
      </c>
    </row>
    <row r="876" spans="1:8" ht="48" x14ac:dyDescent="0.2">
      <c r="A876" s="47"/>
      <c r="B876" s="47"/>
      <c r="C876" s="14" t="s">
        <v>212</v>
      </c>
      <c r="D876" s="33" t="s">
        <v>915</v>
      </c>
      <c r="E876" s="10">
        <f>0</f>
        <v>0</v>
      </c>
      <c r="F876" s="10">
        <f>0</f>
        <v>0</v>
      </c>
      <c r="G876" s="10" t="s">
        <v>1158</v>
      </c>
      <c r="H876" s="10">
        <f>0</f>
        <v>0</v>
      </c>
    </row>
    <row r="877" spans="1:8" ht="36" x14ac:dyDescent="0.2">
      <c r="A877" s="47"/>
      <c r="B877" s="47"/>
      <c r="C877" s="14" t="s">
        <v>249</v>
      </c>
      <c r="D877" s="33" t="s">
        <v>916</v>
      </c>
      <c r="E877" s="10">
        <f>0</f>
        <v>0</v>
      </c>
      <c r="F877" s="10">
        <f>0</f>
        <v>0</v>
      </c>
      <c r="G877" s="10" t="s">
        <v>1158</v>
      </c>
      <c r="H877" s="10">
        <f>0</f>
        <v>0</v>
      </c>
    </row>
    <row r="878" spans="1:8" ht="48" x14ac:dyDescent="0.2">
      <c r="A878" s="47"/>
      <c r="B878" s="47"/>
      <c r="C878" s="14" t="s">
        <v>251</v>
      </c>
      <c r="D878" s="33" t="s">
        <v>917</v>
      </c>
      <c r="E878" s="10">
        <f>0</f>
        <v>0</v>
      </c>
      <c r="F878" s="10">
        <f>0</f>
        <v>0</v>
      </c>
      <c r="G878" s="10" t="s">
        <v>1158</v>
      </c>
      <c r="H878" s="10">
        <f>0</f>
        <v>0</v>
      </c>
    </row>
    <row r="879" spans="1:8" ht="24" x14ac:dyDescent="0.2">
      <c r="A879" s="47"/>
      <c r="B879" s="47"/>
      <c r="C879" s="11" t="s">
        <v>214</v>
      </c>
      <c r="D879" s="33" t="s">
        <v>918</v>
      </c>
      <c r="E879" s="10">
        <f>E880</f>
        <v>0</v>
      </c>
      <c r="F879" s="10">
        <f>F880</f>
        <v>0</v>
      </c>
      <c r="G879" s="10" t="s">
        <v>1158</v>
      </c>
      <c r="H879" s="10">
        <f>H880</f>
        <v>0</v>
      </c>
    </row>
    <row r="880" spans="1:8" ht="36" x14ac:dyDescent="0.2">
      <c r="A880" s="47"/>
      <c r="B880" s="47"/>
      <c r="C880" s="14" t="s">
        <v>120</v>
      </c>
      <c r="D880" s="33" t="s">
        <v>919</v>
      </c>
      <c r="E880" s="10">
        <f>0</f>
        <v>0</v>
      </c>
      <c r="F880" s="10">
        <f>0</f>
        <v>0</v>
      </c>
      <c r="G880" s="10" t="s">
        <v>1158</v>
      </c>
      <c r="H880" s="10">
        <f>0</f>
        <v>0</v>
      </c>
    </row>
    <row r="881" spans="1:8" s="19" customFormat="1" ht="84" x14ac:dyDescent="0.2">
      <c r="A881" s="47"/>
      <c r="B881" s="47"/>
      <c r="C881" s="13" t="s">
        <v>10</v>
      </c>
      <c r="D881" s="32" t="s">
        <v>920</v>
      </c>
      <c r="E881" s="17">
        <f>E882+E885+E891</f>
        <v>56321.42</v>
      </c>
      <c r="F881" s="17">
        <f>F882+F885+F891</f>
        <v>23328.14</v>
      </c>
      <c r="G881" s="17" t="s">
        <v>1131</v>
      </c>
      <c r="H881" s="17">
        <f>H882+H885+H891</f>
        <v>23328.14</v>
      </c>
    </row>
    <row r="882" spans="1:8" ht="48" x14ac:dyDescent="0.2">
      <c r="A882" s="47"/>
      <c r="B882" s="47"/>
      <c r="C882" s="11" t="s">
        <v>14</v>
      </c>
      <c r="D882" s="33" t="s">
        <v>921</v>
      </c>
      <c r="E882" s="10">
        <f>E883+E884</f>
        <v>0</v>
      </c>
      <c r="F882" s="10">
        <f>F883+F884</f>
        <v>0</v>
      </c>
      <c r="G882" s="10" t="s">
        <v>1158</v>
      </c>
      <c r="H882" s="10">
        <f>H883+H884</f>
        <v>0</v>
      </c>
    </row>
    <row r="883" spans="1:8" ht="48" x14ac:dyDescent="0.2">
      <c r="A883" s="47"/>
      <c r="B883" s="47"/>
      <c r="C883" s="14" t="s">
        <v>133</v>
      </c>
      <c r="D883" s="33" t="s">
        <v>922</v>
      </c>
      <c r="E883" s="10">
        <f>0</f>
        <v>0</v>
      </c>
      <c r="F883" s="10">
        <f>0</f>
        <v>0</v>
      </c>
      <c r="G883" s="10" t="s">
        <v>1158</v>
      </c>
      <c r="H883" s="10">
        <f>0</f>
        <v>0</v>
      </c>
    </row>
    <row r="884" spans="1:8" ht="36" x14ac:dyDescent="0.2">
      <c r="A884" s="47"/>
      <c r="B884" s="47"/>
      <c r="C884" s="14" t="s">
        <v>135</v>
      </c>
      <c r="D884" s="33" t="s">
        <v>923</v>
      </c>
      <c r="E884" s="10">
        <f>0</f>
        <v>0</v>
      </c>
      <c r="F884" s="10">
        <f>0</f>
        <v>0</v>
      </c>
      <c r="G884" s="10" t="s">
        <v>1158</v>
      </c>
      <c r="H884" s="10">
        <f>0</f>
        <v>0</v>
      </c>
    </row>
    <row r="885" spans="1:8" ht="36" x14ac:dyDescent="0.2">
      <c r="A885" s="47"/>
      <c r="B885" s="47"/>
      <c r="C885" s="11" t="s">
        <v>15</v>
      </c>
      <c r="D885" s="33" t="s">
        <v>924</v>
      </c>
      <c r="E885" s="10">
        <f>E886+E887+E888+E890</f>
        <v>56321.42</v>
      </c>
      <c r="F885" s="10">
        <f>F886+F887+F888+F890</f>
        <v>23328.14</v>
      </c>
      <c r="G885" s="10" t="s">
        <v>1131</v>
      </c>
      <c r="H885" s="10">
        <f>H886+H887+H888+H890</f>
        <v>23328.14</v>
      </c>
    </row>
    <row r="886" spans="1:8" ht="36" x14ac:dyDescent="0.2">
      <c r="A886" s="47"/>
      <c r="B886" s="47"/>
      <c r="C886" s="14" t="s">
        <v>925</v>
      </c>
      <c r="D886" s="33" t="s">
        <v>926</v>
      </c>
      <c r="E886" s="10">
        <f>51481.59</f>
        <v>51481.59</v>
      </c>
      <c r="F886" s="10">
        <f>22661.88</f>
        <v>22661.88</v>
      </c>
      <c r="G886" s="10" t="s">
        <v>1132</v>
      </c>
      <c r="H886" s="10">
        <f>22661.88</f>
        <v>22661.88</v>
      </c>
    </row>
    <row r="887" spans="1:8" ht="108" x14ac:dyDescent="0.2">
      <c r="A887" s="47"/>
      <c r="B887" s="47"/>
      <c r="C887" s="14" t="s">
        <v>927</v>
      </c>
      <c r="D887" s="33" t="s">
        <v>928</v>
      </c>
      <c r="E887" s="10">
        <f>0</f>
        <v>0</v>
      </c>
      <c r="F887" s="10">
        <f>0</f>
        <v>0</v>
      </c>
      <c r="G887" s="10" t="s">
        <v>1158</v>
      </c>
      <c r="H887" s="10">
        <f>0</f>
        <v>0</v>
      </c>
    </row>
    <row r="888" spans="1:8" ht="24" x14ac:dyDescent="0.2">
      <c r="A888" s="47"/>
      <c r="B888" s="47"/>
      <c r="C888" s="14" t="s">
        <v>929</v>
      </c>
      <c r="D888" s="33" t="s">
        <v>930</v>
      </c>
      <c r="E888" s="10">
        <f>E889</f>
        <v>4839.83</v>
      </c>
      <c r="F888" s="10">
        <f>F889</f>
        <v>666.26</v>
      </c>
      <c r="G888" s="10" t="s">
        <v>1045</v>
      </c>
      <c r="H888" s="10">
        <f>H889</f>
        <v>666.26</v>
      </c>
    </row>
    <row r="889" spans="1:8" ht="36" x14ac:dyDescent="0.2">
      <c r="A889" s="47"/>
      <c r="B889" s="47"/>
      <c r="C889" s="14" t="s">
        <v>931</v>
      </c>
      <c r="D889" s="33" t="s">
        <v>932</v>
      </c>
      <c r="E889" s="10">
        <f>4839.83</f>
        <v>4839.83</v>
      </c>
      <c r="F889" s="10">
        <f>666.26</f>
        <v>666.26</v>
      </c>
      <c r="G889" s="10" t="s">
        <v>1046</v>
      </c>
      <c r="H889" s="10">
        <f>666.26</f>
        <v>666.26</v>
      </c>
    </row>
    <row r="890" spans="1:8" ht="48" x14ac:dyDescent="0.2">
      <c r="A890" s="47"/>
      <c r="B890" s="47"/>
      <c r="C890" s="14" t="s">
        <v>933</v>
      </c>
      <c r="D890" s="33" t="s">
        <v>934</v>
      </c>
      <c r="E890" s="10">
        <f>0</f>
        <v>0</v>
      </c>
      <c r="F890" s="10">
        <f>0</f>
        <v>0</v>
      </c>
      <c r="G890" s="10" t="s">
        <v>1158</v>
      </c>
      <c r="H890" s="10">
        <f>0</f>
        <v>0</v>
      </c>
    </row>
    <row r="891" spans="1:8" ht="60" x14ac:dyDescent="0.2">
      <c r="A891" s="47"/>
      <c r="B891" s="47"/>
      <c r="C891" s="11" t="s">
        <v>17</v>
      </c>
      <c r="D891" s="33" t="s">
        <v>935</v>
      </c>
      <c r="E891" s="10">
        <f>E892</f>
        <v>0</v>
      </c>
      <c r="F891" s="10">
        <f>F892</f>
        <v>0</v>
      </c>
      <c r="G891" s="10" t="s">
        <v>1158</v>
      </c>
      <c r="H891" s="10">
        <f>H892</f>
        <v>0</v>
      </c>
    </row>
    <row r="892" spans="1:8" ht="84" x14ac:dyDescent="0.2">
      <c r="A892" s="47"/>
      <c r="B892" s="47"/>
      <c r="C892" s="14" t="s">
        <v>89</v>
      </c>
      <c r="D892" s="33" t="s">
        <v>936</v>
      </c>
      <c r="E892" s="10">
        <f>0</f>
        <v>0</v>
      </c>
      <c r="F892" s="10">
        <f>0</f>
        <v>0</v>
      </c>
      <c r="G892" s="10" t="s">
        <v>1158</v>
      </c>
      <c r="H892" s="10">
        <f>0</f>
        <v>0</v>
      </c>
    </row>
    <row r="893" spans="1:8" x14ac:dyDescent="0.2">
      <c r="A893" s="47"/>
      <c r="B893" s="47"/>
      <c r="C893" s="54" t="s">
        <v>13</v>
      </c>
      <c r="D893" s="72"/>
      <c r="E893" s="21">
        <f>E859+E881</f>
        <v>78679.45</v>
      </c>
      <c r="F893" s="21">
        <f>F859+F881</f>
        <v>26457.91</v>
      </c>
      <c r="G893" s="75" t="s">
        <v>1326</v>
      </c>
      <c r="H893" s="21">
        <f>H859+H881</f>
        <v>26457.91</v>
      </c>
    </row>
    <row r="894" spans="1:8" s="19" customFormat="1" ht="59.25" customHeight="1" x14ac:dyDescent="0.2">
      <c r="A894" s="47">
        <v>14</v>
      </c>
      <c r="B894" s="47" t="s">
        <v>156</v>
      </c>
      <c r="C894" s="13" t="s">
        <v>9</v>
      </c>
      <c r="D894" s="32" t="s">
        <v>156</v>
      </c>
      <c r="E894" s="17">
        <f>E895+E903</f>
        <v>27864.91</v>
      </c>
      <c r="F894" s="17">
        <f>F895+F903</f>
        <v>10257.009999999998</v>
      </c>
      <c r="G894" s="17" t="s">
        <v>1047</v>
      </c>
      <c r="H894" s="17">
        <f>H895+H903</f>
        <v>10257.009999999998</v>
      </c>
    </row>
    <row r="895" spans="1:8" ht="72" x14ac:dyDescent="0.2">
      <c r="A895" s="47"/>
      <c r="B895" s="47"/>
      <c r="C895" s="11" t="s">
        <v>178</v>
      </c>
      <c r="D895" s="33" t="s">
        <v>937</v>
      </c>
      <c r="E895" s="10">
        <f>E896+E897+E898+E899+E900+E901+E902</f>
        <v>23210.68</v>
      </c>
      <c r="F895" s="10">
        <f>F896+F897+F898+F899+F900+F901+F902</f>
        <v>9653.659999999998</v>
      </c>
      <c r="G895" s="10" t="s">
        <v>983</v>
      </c>
      <c r="H895" s="10">
        <f>H896+H897+H898+H899+H900+H901+H902</f>
        <v>9653.659999999998</v>
      </c>
    </row>
    <row r="896" spans="1:8" ht="84" x14ac:dyDescent="0.2">
      <c r="A896" s="47"/>
      <c r="B896" s="47"/>
      <c r="C896" s="14" t="s">
        <v>14</v>
      </c>
      <c r="D896" s="33" t="s">
        <v>938</v>
      </c>
      <c r="E896" s="10">
        <f>3430.3</f>
        <v>3430.3</v>
      </c>
      <c r="F896" s="10">
        <f>1760.29</f>
        <v>1760.29</v>
      </c>
      <c r="G896" s="10" t="s">
        <v>1048</v>
      </c>
      <c r="H896" s="10">
        <f>1760.29</f>
        <v>1760.29</v>
      </c>
    </row>
    <row r="897" spans="1:8" ht="72" x14ac:dyDescent="0.2">
      <c r="A897" s="47"/>
      <c r="B897" s="47"/>
      <c r="C897" s="14" t="s">
        <v>15</v>
      </c>
      <c r="D897" s="33" t="s">
        <v>939</v>
      </c>
      <c r="E897" s="10">
        <f>0</f>
        <v>0</v>
      </c>
      <c r="F897" s="10">
        <f>0</f>
        <v>0</v>
      </c>
      <c r="G897" s="10" t="s">
        <v>1158</v>
      </c>
      <c r="H897" s="10">
        <f>0</f>
        <v>0</v>
      </c>
    </row>
    <row r="898" spans="1:8" ht="72" x14ac:dyDescent="0.2">
      <c r="A898" s="47"/>
      <c r="B898" s="47"/>
      <c r="C898" s="14" t="s">
        <v>17</v>
      </c>
      <c r="D898" s="33" t="s">
        <v>940</v>
      </c>
      <c r="E898" s="10">
        <f>17460.01</f>
        <v>17460.009999999998</v>
      </c>
      <c r="F898" s="10">
        <f>6856.71</f>
        <v>6856.71</v>
      </c>
      <c r="G898" s="10" t="s">
        <v>1049</v>
      </c>
      <c r="H898" s="10">
        <f>6856.71</f>
        <v>6856.71</v>
      </c>
    </row>
    <row r="899" spans="1:8" ht="108" x14ac:dyDescent="0.2">
      <c r="A899" s="47"/>
      <c r="B899" s="47"/>
      <c r="C899" s="14" t="s">
        <v>19</v>
      </c>
      <c r="D899" s="33" t="s">
        <v>941</v>
      </c>
      <c r="E899" s="10">
        <f>40</f>
        <v>40</v>
      </c>
      <c r="F899" s="10">
        <f>9.23</f>
        <v>9.23</v>
      </c>
      <c r="G899" s="10" t="s">
        <v>1050</v>
      </c>
      <c r="H899" s="10">
        <f>9.23</f>
        <v>9.23</v>
      </c>
    </row>
    <row r="900" spans="1:8" ht="108" x14ac:dyDescent="0.2">
      <c r="A900" s="47"/>
      <c r="B900" s="47"/>
      <c r="C900" s="14" t="s">
        <v>21</v>
      </c>
      <c r="D900" s="33" t="s">
        <v>942</v>
      </c>
      <c r="E900" s="10">
        <f>1482.4</f>
        <v>1482.4</v>
      </c>
      <c r="F900" s="10">
        <f>756.05</f>
        <v>756.05</v>
      </c>
      <c r="G900" s="10" t="s">
        <v>1051</v>
      </c>
      <c r="H900" s="10">
        <f>756.05</f>
        <v>756.05</v>
      </c>
    </row>
    <row r="901" spans="1:8" ht="48" x14ac:dyDescent="0.2">
      <c r="A901" s="47"/>
      <c r="B901" s="47"/>
      <c r="C901" s="14" t="s">
        <v>23</v>
      </c>
      <c r="D901" s="33" t="s">
        <v>943</v>
      </c>
      <c r="E901" s="10">
        <f>0</f>
        <v>0</v>
      </c>
      <c r="F901" s="10">
        <f>0</f>
        <v>0</v>
      </c>
      <c r="G901" s="10" t="s">
        <v>1158</v>
      </c>
      <c r="H901" s="10">
        <f>0</f>
        <v>0</v>
      </c>
    </row>
    <row r="902" spans="1:8" ht="48" x14ac:dyDescent="0.2">
      <c r="A902" s="47"/>
      <c r="B902" s="47"/>
      <c r="C902" s="14" t="s">
        <v>25</v>
      </c>
      <c r="D902" s="33" t="s">
        <v>944</v>
      </c>
      <c r="E902" s="10">
        <f>797.97</f>
        <v>797.97</v>
      </c>
      <c r="F902" s="10">
        <f>271.38</f>
        <v>271.38</v>
      </c>
      <c r="G902" s="10" t="s">
        <v>1052</v>
      </c>
      <c r="H902" s="10">
        <f>271.38</f>
        <v>271.38</v>
      </c>
    </row>
    <row r="903" spans="1:8" ht="36" x14ac:dyDescent="0.2">
      <c r="A903" s="47"/>
      <c r="B903" s="47"/>
      <c r="C903" s="11" t="s">
        <v>187</v>
      </c>
      <c r="D903" s="33" t="s">
        <v>945</v>
      </c>
      <c r="E903" s="10">
        <f>E904+E905+E906</f>
        <v>4654.2299999999996</v>
      </c>
      <c r="F903" s="10">
        <f>F904+F905+F906</f>
        <v>603.35</v>
      </c>
      <c r="G903" s="10" t="s">
        <v>1053</v>
      </c>
      <c r="H903" s="10">
        <f>H904+H905+H906</f>
        <v>603.35</v>
      </c>
    </row>
    <row r="904" spans="1:8" ht="72" x14ac:dyDescent="0.2">
      <c r="A904" s="47"/>
      <c r="B904" s="47"/>
      <c r="C904" s="14" t="s">
        <v>98</v>
      </c>
      <c r="D904" s="33" t="s">
        <v>946</v>
      </c>
      <c r="E904" s="10">
        <f>200</f>
        <v>200</v>
      </c>
      <c r="F904" s="10">
        <f>0</f>
        <v>0</v>
      </c>
      <c r="G904" s="10" t="s">
        <v>165</v>
      </c>
      <c r="H904" s="10">
        <f>0</f>
        <v>0</v>
      </c>
    </row>
    <row r="905" spans="1:8" ht="108" x14ac:dyDescent="0.2">
      <c r="A905" s="47"/>
      <c r="B905" s="47"/>
      <c r="C905" s="14" t="s">
        <v>190</v>
      </c>
      <c r="D905" s="33" t="s">
        <v>947</v>
      </c>
      <c r="E905" s="10">
        <f>3805.23</f>
        <v>3805.23</v>
      </c>
      <c r="F905" s="10">
        <f>329.75</f>
        <v>329.75</v>
      </c>
      <c r="G905" s="10" t="s">
        <v>1054</v>
      </c>
      <c r="H905" s="10">
        <f>329.75</f>
        <v>329.75</v>
      </c>
    </row>
    <row r="906" spans="1:8" ht="60" x14ac:dyDescent="0.2">
      <c r="A906" s="47"/>
      <c r="B906" s="47"/>
      <c r="C906" s="14" t="s">
        <v>192</v>
      </c>
      <c r="D906" s="33" t="s">
        <v>948</v>
      </c>
      <c r="E906" s="10">
        <f>649</f>
        <v>649</v>
      </c>
      <c r="F906" s="10">
        <f>273.6</f>
        <v>273.60000000000002</v>
      </c>
      <c r="G906" s="10" t="s">
        <v>1055</v>
      </c>
      <c r="H906" s="10">
        <f>273.6</f>
        <v>273.60000000000002</v>
      </c>
    </row>
    <row r="907" spans="1:8" ht="32.25" customHeight="1" x14ac:dyDescent="0.2">
      <c r="A907" s="47"/>
      <c r="B907" s="47"/>
      <c r="C907" s="61" t="s">
        <v>13</v>
      </c>
      <c r="D907" s="73"/>
      <c r="E907" s="21">
        <f>E894</f>
        <v>27864.91</v>
      </c>
      <c r="F907" s="21">
        <f>F894</f>
        <v>10257.009999999998</v>
      </c>
      <c r="G907" s="75" t="s">
        <v>1047</v>
      </c>
      <c r="H907" s="21">
        <f>H894</f>
        <v>10257.009999999998</v>
      </c>
    </row>
  </sheetData>
  <mergeCells count="45">
    <mergeCell ref="C698:D698"/>
    <mergeCell ref="C858:D858"/>
    <mergeCell ref="C893:D893"/>
    <mergeCell ref="C907:D907"/>
    <mergeCell ref="B682:B698"/>
    <mergeCell ref="C324:D324"/>
    <mergeCell ref="B325:B402"/>
    <mergeCell ref="A325:A402"/>
    <mergeCell ref="C402:D402"/>
    <mergeCell ref="A620:A681"/>
    <mergeCell ref="B620:B681"/>
    <mergeCell ref="C474:D474"/>
    <mergeCell ref="C525:D525"/>
    <mergeCell ref="C619:D619"/>
    <mergeCell ref="C681:D681"/>
    <mergeCell ref="C441:D441"/>
    <mergeCell ref="C605:D605"/>
    <mergeCell ref="A699:A858"/>
    <mergeCell ref="B146:B324"/>
    <mergeCell ref="B606:B619"/>
    <mergeCell ref="A606:A619"/>
    <mergeCell ref="A526:A605"/>
    <mergeCell ref="B526:B605"/>
    <mergeCell ref="B1:I1"/>
    <mergeCell ref="B2:I2"/>
    <mergeCell ref="B3:I3"/>
    <mergeCell ref="B8:B57"/>
    <mergeCell ref="A8:A57"/>
    <mergeCell ref="C57:D57"/>
    <mergeCell ref="C145:D145"/>
    <mergeCell ref="A859:A893"/>
    <mergeCell ref="B859:B893"/>
    <mergeCell ref="B894:B907"/>
    <mergeCell ref="A894:A907"/>
    <mergeCell ref="B475:B525"/>
    <mergeCell ref="A475:A525"/>
    <mergeCell ref="B442:B474"/>
    <mergeCell ref="A442:A474"/>
    <mergeCell ref="B58:B145"/>
    <mergeCell ref="A58:A145"/>
    <mergeCell ref="B403:B441"/>
    <mergeCell ref="A403:A441"/>
    <mergeCell ref="A146:A324"/>
    <mergeCell ref="A682:A698"/>
    <mergeCell ref="B699:B8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Паранина Н. В.</cp:lastModifiedBy>
  <dcterms:created xsi:type="dcterms:W3CDTF">2018-08-22T06:54:31Z</dcterms:created>
  <dcterms:modified xsi:type="dcterms:W3CDTF">2019-09-13T11:21:35Z</dcterms:modified>
</cp:coreProperties>
</file>