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onomika\Desktop\Операт. отчет\2023\1 кв\"/>
    </mc:Choice>
  </mc:AlternateContent>
  <bookViews>
    <workbookView xWindow="0" yWindow="0" windowWidth="23040" windowHeight="93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0" i="1" l="1"/>
  <c r="F440" i="1"/>
  <c r="H450" i="1" l="1"/>
  <c r="H449" i="1" s="1"/>
  <c r="F450" i="1"/>
  <c r="F449" i="1" s="1"/>
  <c r="E450" i="1"/>
  <c r="E449" i="1" s="1"/>
  <c r="H448" i="1"/>
  <c r="H447" i="1" s="1"/>
  <c r="F448" i="1"/>
  <c r="F447" i="1" s="1"/>
  <c r="E448" i="1"/>
  <c r="E447" i="1" s="1"/>
  <c r="H445" i="1"/>
  <c r="H444" i="1" s="1"/>
  <c r="F445" i="1"/>
  <c r="F444" i="1" s="1"/>
  <c r="E445" i="1"/>
  <c r="E444" i="1" s="1"/>
  <c r="H443" i="1"/>
  <c r="H442" i="1" s="1"/>
  <c r="F443" i="1"/>
  <c r="E443" i="1"/>
  <c r="E442" i="1" s="1"/>
  <c r="F442" i="1"/>
  <c r="F441" i="1" s="1"/>
  <c r="F451" i="1" l="1"/>
  <c r="E446" i="1"/>
  <c r="F446" i="1"/>
  <c r="H446" i="1"/>
  <c r="E441" i="1"/>
  <c r="H441" i="1"/>
  <c r="H451" i="1" s="1"/>
  <c r="H349" i="1"/>
  <c r="H348" i="1" s="1"/>
  <c r="F349" i="1"/>
  <c r="F348" i="1" s="1"/>
  <c r="E349" i="1"/>
  <c r="E348" i="1" s="1"/>
  <c r="H347" i="1"/>
  <c r="H346" i="1" s="1"/>
  <c r="F347" i="1"/>
  <c r="F346" i="1" s="1"/>
  <c r="E347" i="1"/>
  <c r="H344" i="1"/>
  <c r="H343" i="1" s="1"/>
  <c r="F344" i="1"/>
  <c r="F343" i="1" s="1"/>
  <c r="E344" i="1"/>
  <c r="E343" i="1" s="1"/>
  <c r="H342" i="1"/>
  <c r="H341" i="1" s="1"/>
  <c r="F342" i="1"/>
  <c r="F341" i="1" s="1"/>
  <c r="E342" i="1"/>
  <c r="E341" i="1" s="1"/>
  <c r="H340" i="1"/>
  <c r="H339" i="1" s="1"/>
  <c r="F340" i="1"/>
  <c r="F339" i="1" s="1"/>
  <c r="F338" i="1" s="1"/>
  <c r="E340" i="1"/>
  <c r="E339" i="1" s="1"/>
  <c r="H337" i="1"/>
  <c r="F337" i="1"/>
  <c r="E337" i="1"/>
  <c r="H336" i="1"/>
  <c r="F336" i="1"/>
  <c r="E336" i="1"/>
  <c r="H335" i="1"/>
  <c r="F335" i="1"/>
  <c r="E335" i="1"/>
  <c r="H333" i="1"/>
  <c r="F333" i="1"/>
  <c r="E333" i="1"/>
  <c r="H332" i="1"/>
  <c r="F332" i="1"/>
  <c r="E332" i="1"/>
  <c r="H331" i="1"/>
  <c r="F331" i="1"/>
  <c r="E331" i="1"/>
  <c r="H330" i="1"/>
  <c r="F330" i="1"/>
  <c r="E330" i="1"/>
  <c r="H329" i="1"/>
  <c r="F329" i="1"/>
  <c r="E329" i="1"/>
  <c r="H328" i="1"/>
  <c r="F328" i="1"/>
  <c r="E328" i="1"/>
  <c r="H327" i="1"/>
  <c r="F327" i="1"/>
  <c r="E327" i="1"/>
  <c r="H334" i="1" l="1"/>
  <c r="E451" i="1"/>
  <c r="F326" i="1"/>
  <c r="E346" i="1"/>
  <c r="E345" i="1" s="1"/>
  <c r="H326" i="1"/>
  <c r="H325" i="1" s="1"/>
  <c r="F345" i="1"/>
  <c r="E334" i="1"/>
  <c r="E325" i="1" s="1"/>
  <c r="H345" i="1"/>
  <c r="F334" i="1"/>
  <c r="E326" i="1"/>
  <c r="E338" i="1"/>
  <c r="H338" i="1"/>
  <c r="H148" i="1"/>
  <c r="F148" i="1"/>
  <c r="F147" i="1" s="1"/>
  <c r="F146" i="1" s="1"/>
  <c r="H96" i="1"/>
  <c r="F96" i="1"/>
  <c r="E96" i="1"/>
  <c r="H95" i="1"/>
  <c r="F95" i="1"/>
  <c r="E95" i="1"/>
  <c r="H92" i="1"/>
  <c r="H91" i="1" s="1"/>
  <c r="F92" i="1"/>
  <c r="F91" i="1" s="1"/>
  <c r="E92" i="1"/>
  <c r="E91" i="1" s="1"/>
  <c r="H90" i="1"/>
  <c r="F90" i="1"/>
  <c r="E90" i="1"/>
  <c r="H89" i="1"/>
  <c r="H88" i="1" s="1"/>
  <c r="F89" i="1"/>
  <c r="E89" i="1"/>
  <c r="E88" i="1" s="1"/>
  <c r="H87" i="1"/>
  <c r="H86" i="1" s="1"/>
  <c r="F87" i="1"/>
  <c r="F86" i="1" s="1"/>
  <c r="E87" i="1"/>
  <c r="E86" i="1" s="1"/>
  <c r="H85" i="1"/>
  <c r="F85" i="1"/>
  <c r="E85" i="1"/>
  <c r="H84" i="1"/>
  <c r="F84" i="1"/>
  <c r="E84" i="1"/>
  <c r="H83" i="1"/>
  <c r="F83" i="1"/>
  <c r="E83" i="1"/>
  <c r="H82" i="1"/>
  <c r="F82" i="1"/>
  <c r="E82" i="1"/>
  <c r="H79" i="1"/>
  <c r="F79" i="1"/>
  <c r="E79" i="1"/>
  <c r="H78" i="1"/>
  <c r="F78" i="1"/>
  <c r="E78" i="1"/>
  <c r="H76" i="1"/>
  <c r="H75" i="1" s="1"/>
  <c r="F76" i="1"/>
  <c r="F75" i="1" s="1"/>
  <c r="E76" i="1"/>
  <c r="E75" i="1" s="1"/>
  <c r="H74" i="1"/>
  <c r="F74" i="1"/>
  <c r="E74" i="1"/>
  <c r="H73" i="1"/>
  <c r="F73" i="1"/>
  <c r="E73" i="1"/>
  <c r="H72" i="1"/>
  <c r="F72" i="1"/>
  <c r="E72" i="1"/>
  <c r="H71" i="1"/>
  <c r="H70" i="1" s="1"/>
  <c r="F71" i="1"/>
  <c r="F70" i="1" s="1"/>
  <c r="E71" i="1"/>
  <c r="E70" i="1" s="1"/>
  <c r="H69" i="1"/>
  <c r="F69" i="1"/>
  <c r="E69" i="1"/>
  <c r="H68" i="1"/>
  <c r="F68" i="1"/>
  <c r="E68" i="1"/>
  <c r="H67" i="1"/>
  <c r="F67" i="1"/>
  <c r="E67" i="1"/>
  <c r="H65" i="1"/>
  <c r="F65" i="1"/>
  <c r="E65" i="1"/>
  <c r="H64" i="1"/>
  <c r="F64" i="1"/>
  <c r="E64" i="1"/>
  <c r="H63" i="1"/>
  <c r="F63" i="1"/>
  <c r="E63" i="1"/>
  <c r="H62" i="1"/>
  <c r="F62" i="1"/>
  <c r="E62" i="1"/>
  <c r="H61" i="1"/>
  <c r="F61" i="1"/>
  <c r="E61" i="1"/>
  <c r="H60" i="1"/>
  <c r="F60" i="1"/>
  <c r="E60" i="1"/>
  <c r="H59" i="1"/>
  <c r="F59" i="1"/>
  <c r="E59" i="1"/>
  <c r="H58" i="1"/>
  <c r="F58" i="1"/>
  <c r="E58" i="1"/>
  <c r="H57" i="1"/>
  <c r="F57" i="1"/>
  <c r="E57" i="1"/>
  <c r="H56" i="1"/>
  <c r="F56" i="1"/>
  <c r="E56" i="1"/>
  <c r="H55" i="1"/>
  <c r="F55" i="1"/>
  <c r="E55" i="1"/>
  <c r="H54" i="1"/>
  <c r="F54" i="1"/>
  <c r="E54" i="1"/>
  <c r="H53" i="1"/>
  <c r="F53" i="1"/>
  <c r="E53" i="1"/>
  <c r="E439" i="1"/>
  <c r="E438" i="1" s="1"/>
  <c r="H438" i="1"/>
  <c r="F438" i="1"/>
  <c r="E437" i="1"/>
  <c r="H436" i="1"/>
  <c r="F436" i="1"/>
  <c r="H435" i="1"/>
  <c r="F435" i="1"/>
  <c r="E435" i="1"/>
  <c r="H434" i="1"/>
  <c r="F434" i="1"/>
  <c r="E434" i="1"/>
  <c r="H433" i="1"/>
  <c r="F433" i="1"/>
  <c r="E433" i="1"/>
  <c r="H432" i="1"/>
  <c r="F432" i="1"/>
  <c r="E432" i="1"/>
  <c r="H431" i="1"/>
  <c r="F431" i="1"/>
  <c r="E431" i="1"/>
  <c r="H430" i="1"/>
  <c r="F430" i="1"/>
  <c r="E430" i="1"/>
  <c r="H429" i="1"/>
  <c r="F429" i="1"/>
  <c r="E429" i="1"/>
  <c r="H428" i="1"/>
  <c r="F428" i="1"/>
  <c r="E428" i="1"/>
  <c r="H427" i="1"/>
  <c r="F427" i="1"/>
  <c r="E427" i="1"/>
  <c r="H426" i="1"/>
  <c r="F426" i="1"/>
  <c r="E426" i="1"/>
  <c r="H425" i="1"/>
  <c r="F425" i="1"/>
  <c r="E425" i="1"/>
  <c r="H422" i="1"/>
  <c r="F422" i="1"/>
  <c r="E422" i="1"/>
  <c r="H421" i="1"/>
  <c r="H420" i="1" s="1"/>
  <c r="F421" i="1"/>
  <c r="E421" i="1"/>
  <c r="E420" i="1" s="1"/>
  <c r="H419" i="1"/>
  <c r="F419" i="1"/>
  <c r="E419" i="1"/>
  <c r="H418" i="1"/>
  <c r="F418" i="1"/>
  <c r="E418" i="1"/>
  <c r="H417" i="1"/>
  <c r="F417" i="1"/>
  <c r="E417" i="1"/>
  <c r="H416" i="1"/>
  <c r="F416" i="1"/>
  <c r="E416" i="1"/>
  <c r="H415" i="1"/>
  <c r="F415" i="1"/>
  <c r="E415" i="1"/>
  <c r="H414" i="1"/>
  <c r="F414" i="1"/>
  <c r="E414" i="1"/>
  <c r="H410" i="1"/>
  <c r="F410" i="1"/>
  <c r="E410" i="1"/>
  <c r="H409" i="1"/>
  <c r="H408" i="1" s="1"/>
  <c r="H407" i="1" s="1"/>
  <c r="F409" i="1"/>
  <c r="F408" i="1" s="1"/>
  <c r="E409" i="1"/>
  <c r="E408" i="1" s="1"/>
  <c r="E407" i="1" s="1"/>
  <c r="H406" i="1"/>
  <c r="F406" i="1"/>
  <c r="E406" i="1"/>
  <c r="H405" i="1"/>
  <c r="F405" i="1"/>
  <c r="E405" i="1"/>
  <c r="H403" i="1"/>
  <c r="F403" i="1"/>
  <c r="E403" i="1"/>
  <c r="H400" i="1"/>
  <c r="F400" i="1"/>
  <c r="E400" i="1"/>
  <c r="H399" i="1"/>
  <c r="F399" i="1"/>
  <c r="E399" i="1"/>
  <c r="E398" i="1" s="1"/>
  <c r="H397" i="1"/>
  <c r="F397" i="1"/>
  <c r="E397" i="1"/>
  <c r="H395" i="1"/>
  <c r="F395" i="1"/>
  <c r="E395" i="1"/>
  <c r="H394" i="1"/>
  <c r="F394" i="1"/>
  <c r="F393" i="1" s="1"/>
  <c r="E394" i="1"/>
  <c r="H391" i="1"/>
  <c r="F391" i="1"/>
  <c r="E391" i="1"/>
  <c r="H390" i="1"/>
  <c r="F390" i="1"/>
  <c r="E390" i="1"/>
  <c r="H388" i="1"/>
  <c r="F388" i="1"/>
  <c r="E388" i="1"/>
  <c r="H387" i="1"/>
  <c r="F387" i="1"/>
  <c r="E387" i="1"/>
  <c r="H386" i="1"/>
  <c r="F386" i="1"/>
  <c r="E386" i="1"/>
  <c r="H384" i="1"/>
  <c r="H383" i="1" s="1"/>
  <c r="F384" i="1"/>
  <c r="F383" i="1" s="1"/>
  <c r="E384" i="1"/>
  <c r="E383" i="1" s="1"/>
  <c r="H382" i="1"/>
  <c r="F382" i="1"/>
  <c r="E382" i="1"/>
  <c r="H381" i="1"/>
  <c r="F381" i="1"/>
  <c r="E381" i="1"/>
  <c r="H380" i="1"/>
  <c r="F380" i="1"/>
  <c r="E380" i="1"/>
  <c r="H379" i="1"/>
  <c r="F379" i="1"/>
  <c r="E379" i="1"/>
  <c r="H378" i="1"/>
  <c r="F378" i="1"/>
  <c r="E378" i="1"/>
  <c r="E375" i="1"/>
  <c r="H374" i="1"/>
  <c r="F374" i="1"/>
  <c r="H373" i="1"/>
  <c r="F373" i="1"/>
  <c r="E373" i="1"/>
  <c r="H370" i="1"/>
  <c r="F370" i="1"/>
  <c r="E370" i="1"/>
  <c r="H369" i="1"/>
  <c r="F369" i="1"/>
  <c r="E369" i="1"/>
  <c r="H365" i="1"/>
  <c r="F365" i="1"/>
  <c r="E365" i="1"/>
  <c r="H364" i="1"/>
  <c r="F364" i="1"/>
  <c r="E364" i="1"/>
  <c r="H363" i="1"/>
  <c r="F363" i="1"/>
  <c r="E363" i="1"/>
  <c r="H362" i="1"/>
  <c r="F362" i="1"/>
  <c r="E362" i="1"/>
  <c r="H360" i="1"/>
  <c r="F360" i="1"/>
  <c r="E360" i="1"/>
  <c r="H359" i="1"/>
  <c r="F359" i="1"/>
  <c r="E359" i="1"/>
  <c r="H358" i="1"/>
  <c r="F358" i="1"/>
  <c r="E358" i="1"/>
  <c r="H356" i="1"/>
  <c r="F356" i="1"/>
  <c r="E356" i="1"/>
  <c r="H353" i="1"/>
  <c r="H352" i="1" s="1"/>
  <c r="H351" i="1" s="1"/>
  <c r="F353" i="1"/>
  <c r="F352" i="1" s="1"/>
  <c r="F351" i="1" s="1"/>
  <c r="E353" i="1"/>
  <c r="E352" i="1" s="1"/>
  <c r="E351" i="1" s="1"/>
  <c r="E315" i="1"/>
  <c r="E317" i="1"/>
  <c r="E298" i="1"/>
  <c r="H323" i="1"/>
  <c r="H322" i="1" s="1"/>
  <c r="F323" i="1"/>
  <c r="F322" i="1" s="1"/>
  <c r="E323" i="1"/>
  <c r="E322" i="1" s="1"/>
  <c r="H321" i="1"/>
  <c r="F321" i="1"/>
  <c r="E321" i="1"/>
  <c r="H320" i="1"/>
  <c r="F320" i="1"/>
  <c r="E320" i="1"/>
  <c r="H319" i="1"/>
  <c r="F319" i="1"/>
  <c r="E319" i="1"/>
  <c r="H318" i="1"/>
  <c r="F318" i="1"/>
  <c r="E318" i="1"/>
  <c r="H317" i="1"/>
  <c r="F317" i="1"/>
  <c r="H316" i="1"/>
  <c r="F316" i="1"/>
  <c r="E316" i="1"/>
  <c r="H315" i="1"/>
  <c r="F315" i="1"/>
  <c r="H314" i="1"/>
  <c r="F314" i="1"/>
  <c r="E314" i="1"/>
  <c r="H311" i="1"/>
  <c r="F311" i="1"/>
  <c r="E311" i="1"/>
  <c r="H310" i="1"/>
  <c r="F310" i="1"/>
  <c r="E310" i="1"/>
  <c r="H308" i="1"/>
  <c r="F308" i="1"/>
  <c r="E308" i="1"/>
  <c r="H307" i="1"/>
  <c r="F307" i="1"/>
  <c r="E307" i="1"/>
  <c r="H304" i="1"/>
  <c r="H303" i="1" s="1"/>
  <c r="F304" i="1"/>
  <c r="F303" i="1" s="1"/>
  <c r="E304" i="1"/>
  <c r="E303" i="1" s="1"/>
  <c r="H302" i="1"/>
  <c r="H301" i="1" s="1"/>
  <c r="F302" i="1"/>
  <c r="F301" i="1" s="1"/>
  <c r="E302" i="1"/>
  <c r="E301" i="1" s="1"/>
  <c r="H300" i="1"/>
  <c r="F300" i="1"/>
  <c r="E300" i="1"/>
  <c r="H299" i="1"/>
  <c r="F299" i="1"/>
  <c r="E299" i="1"/>
  <c r="H298" i="1"/>
  <c r="F298" i="1"/>
  <c r="H294" i="1"/>
  <c r="F294" i="1"/>
  <c r="E294" i="1"/>
  <c r="H293" i="1"/>
  <c r="F293" i="1"/>
  <c r="E293" i="1"/>
  <c r="H292" i="1"/>
  <c r="F292" i="1"/>
  <c r="E292" i="1"/>
  <c r="H291" i="1"/>
  <c r="F291" i="1"/>
  <c r="E291" i="1"/>
  <c r="H289" i="1"/>
  <c r="F289" i="1"/>
  <c r="E289" i="1"/>
  <c r="H288" i="1"/>
  <c r="F288" i="1"/>
  <c r="E288" i="1"/>
  <c r="H287" i="1"/>
  <c r="F287" i="1"/>
  <c r="E287" i="1"/>
  <c r="H284" i="1"/>
  <c r="F284" i="1"/>
  <c r="E284" i="1"/>
  <c r="H283" i="1"/>
  <c r="F283" i="1"/>
  <c r="E283" i="1"/>
  <c r="H281" i="1"/>
  <c r="F281" i="1"/>
  <c r="E281" i="1"/>
  <c r="H280" i="1"/>
  <c r="F280" i="1"/>
  <c r="E280" i="1"/>
  <c r="H279" i="1"/>
  <c r="F279" i="1"/>
  <c r="E279" i="1"/>
  <c r="H278" i="1"/>
  <c r="F278" i="1"/>
  <c r="E278" i="1"/>
  <c r="H277" i="1"/>
  <c r="F277" i="1"/>
  <c r="E277" i="1"/>
  <c r="H276" i="1"/>
  <c r="F276" i="1"/>
  <c r="E276" i="1"/>
  <c r="H275" i="1"/>
  <c r="F275" i="1"/>
  <c r="E275" i="1"/>
  <c r="H274" i="1"/>
  <c r="F274" i="1"/>
  <c r="E274" i="1"/>
  <c r="H273" i="1"/>
  <c r="F273" i="1"/>
  <c r="E273" i="1"/>
  <c r="H272" i="1"/>
  <c r="F272" i="1"/>
  <c r="E272" i="1"/>
  <c r="H271" i="1"/>
  <c r="F271" i="1"/>
  <c r="E271" i="1"/>
  <c r="H270" i="1"/>
  <c r="F270" i="1"/>
  <c r="E270" i="1"/>
  <c r="H267" i="1"/>
  <c r="F267" i="1"/>
  <c r="E267" i="1"/>
  <c r="H264" i="1"/>
  <c r="H263" i="1" s="1"/>
  <c r="H262" i="1" s="1"/>
  <c r="F264" i="1"/>
  <c r="F263" i="1" s="1"/>
  <c r="F262" i="1" s="1"/>
  <c r="E264" i="1"/>
  <c r="E263" i="1" s="1"/>
  <c r="E262" i="1" s="1"/>
  <c r="H261" i="1"/>
  <c r="F261" i="1"/>
  <c r="E261" i="1"/>
  <c r="H260" i="1"/>
  <c r="F260" i="1"/>
  <c r="E260" i="1"/>
  <c r="H257" i="1"/>
  <c r="F257" i="1"/>
  <c r="E257" i="1"/>
  <c r="H256" i="1"/>
  <c r="H255" i="1" s="1"/>
  <c r="F256" i="1"/>
  <c r="E256" i="1"/>
  <c r="E255" i="1" s="1"/>
  <c r="H253" i="1"/>
  <c r="H252" i="1" s="1"/>
  <c r="F253" i="1"/>
  <c r="F252" i="1" s="1"/>
  <c r="E253" i="1"/>
  <c r="E252" i="1" s="1"/>
  <c r="H250" i="1"/>
  <c r="H249" i="1" s="1"/>
  <c r="H248" i="1" s="1"/>
  <c r="F250" i="1"/>
  <c r="F249" i="1" s="1"/>
  <c r="F248" i="1" s="1"/>
  <c r="E250" i="1"/>
  <c r="E249" i="1" s="1"/>
  <c r="E248" i="1" s="1"/>
  <c r="H247" i="1"/>
  <c r="H246" i="1" s="1"/>
  <c r="F247" i="1"/>
  <c r="F246" i="1" s="1"/>
  <c r="E247" i="1"/>
  <c r="E246" i="1" s="1"/>
  <c r="H245" i="1"/>
  <c r="H244" i="1" s="1"/>
  <c r="H243" i="1" s="1"/>
  <c r="F245" i="1"/>
  <c r="F244" i="1" s="1"/>
  <c r="F243" i="1" s="1"/>
  <c r="E245" i="1"/>
  <c r="H242" i="1"/>
  <c r="H241" i="1" s="1"/>
  <c r="H240" i="1" s="1"/>
  <c r="F242" i="1"/>
  <c r="F241" i="1" s="1"/>
  <c r="F240" i="1" s="1"/>
  <c r="E242" i="1"/>
  <c r="E241" i="1" s="1"/>
  <c r="H239" i="1"/>
  <c r="F239" i="1"/>
  <c r="E239" i="1"/>
  <c r="H238" i="1"/>
  <c r="F238" i="1"/>
  <c r="E238" i="1"/>
  <c r="H235" i="1"/>
  <c r="H234" i="1" s="1"/>
  <c r="H233" i="1" s="1"/>
  <c r="F235" i="1"/>
  <c r="F234" i="1" s="1"/>
  <c r="F233" i="1" s="1"/>
  <c r="E235" i="1"/>
  <c r="E234" i="1" s="1"/>
  <c r="E233" i="1" s="1"/>
  <c r="H232" i="1"/>
  <c r="F232" i="1"/>
  <c r="E232" i="1"/>
  <c r="H231" i="1"/>
  <c r="F231" i="1"/>
  <c r="E231" i="1"/>
  <c r="H230" i="1"/>
  <c r="F230" i="1"/>
  <c r="E230" i="1"/>
  <c r="H227" i="1"/>
  <c r="F227" i="1"/>
  <c r="E227" i="1"/>
  <c r="H226" i="1"/>
  <c r="F226" i="1"/>
  <c r="E226" i="1"/>
  <c r="H225" i="1"/>
  <c r="F225" i="1"/>
  <c r="E225" i="1"/>
  <c r="H224" i="1"/>
  <c r="F224" i="1"/>
  <c r="E224" i="1"/>
  <c r="H223" i="1"/>
  <c r="F223" i="1"/>
  <c r="E223" i="1"/>
  <c r="H222" i="1"/>
  <c r="F222" i="1"/>
  <c r="E222" i="1"/>
  <c r="H221" i="1"/>
  <c r="F221" i="1"/>
  <c r="E221" i="1"/>
  <c r="H220" i="1"/>
  <c r="F220" i="1"/>
  <c r="E220" i="1"/>
  <c r="H219" i="1"/>
  <c r="F219" i="1"/>
  <c r="E219" i="1"/>
  <c r="H218" i="1"/>
  <c r="F218" i="1"/>
  <c r="E218" i="1"/>
  <c r="H217" i="1"/>
  <c r="F217" i="1"/>
  <c r="E217" i="1"/>
  <c r="H214" i="1"/>
  <c r="F214" i="1"/>
  <c r="E214" i="1"/>
  <c r="H213" i="1"/>
  <c r="F213" i="1"/>
  <c r="E213" i="1"/>
  <c r="H212" i="1"/>
  <c r="F212" i="1"/>
  <c r="E212" i="1"/>
  <c r="H211" i="1"/>
  <c r="F211" i="1"/>
  <c r="E211" i="1"/>
  <c r="H210" i="1"/>
  <c r="F210" i="1"/>
  <c r="E210" i="1"/>
  <c r="H208" i="1"/>
  <c r="H207" i="1" s="1"/>
  <c r="F208" i="1"/>
  <c r="F207" i="1" s="1"/>
  <c r="E208" i="1"/>
  <c r="E207" i="1" s="1"/>
  <c r="E206" i="1"/>
  <c r="E205" i="1"/>
  <c r="H204" i="1"/>
  <c r="F204" i="1"/>
  <c r="H202" i="1"/>
  <c r="F202" i="1"/>
  <c r="E202" i="1"/>
  <c r="H201" i="1"/>
  <c r="F201" i="1"/>
  <c r="E201" i="1"/>
  <c r="H200" i="1"/>
  <c r="F200" i="1"/>
  <c r="E200" i="1"/>
  <c r="H199" i="1"/>
  <c r="F199" i="1"/>
  <c r="E199" i="1"/>
  <c r="H198" i="1"/>
  <c r="F198" i="1"/>
  <c r="E198" i="1"/>
  <c r="H196" i="1"/>
  <c r="H195" i="1" s="1"/>
  <c r="F196" i="1"/>
  <c r="F195" i="1" s="1"/>
  <c r="E196" i="1"/>
  <c r="E195" i="1" s="1"/>
  <c r="H194" i="1"/>
  <c r="F194" i="1"/>
  <c r="E194" i="1"/>
  <c r="H193" i="1"/>
  <c r="F193" i="1"/>
  <c r="E193" i="1"/>
  <c r="H190" i="1"/>
  <c r="F190" i="1"/>
  <c r="E190" i="1"/>
  <c r="H189" i="1"/>
  <c r="F189" i="1"/>
  <c r="E189" i="1"/>
  <c r="H188" i="1"/>
  <c r="F188" i="1"/>
  <c r="E188" i="1"/>
  <c r="H186" i="1"/>
  <c r="F186" i="1"/>
  <c r="E186" i="1"/>
  <c r="H185" i="1"/>
  <c r="F185" i="1"/>
  <c r="E185" i="1"/>
  <c r="H184" i="1"/>
  <c r="F184" i="1"/>
  <c r="E184" i="1"/>
  <c r="H183" i="1"/>
  <c r="F183" i="1"/>
  <c r="E183" i="1"/>
  <c r="H182" i="1"/>
  <c r="F182" i="1"/>
  <c r="E182" i="1"/>
  <c r="H180" i="1"/>
  <c r="F180" i="1"/>
  <c r="E180" i="1"/>
  <c r="H179" i="1"/>
  <c r="F179" i="1"/>
  <c r="E179" i="1"/>
  <c r="H178" i="1"/>
  <c r="F178" i="1"/>
  <c r="E178" i="1"/>
  <c r="H176" i="1"/>
  <c r="F176" i="1"/>
  <c r="E176" i="1"/>
  <c r="H175" i="1"/>
  <c r="F175" i="1"/>
  <c r="E175" i="1"/>
  <c r="H174" i="1"/>
  <c r="F174" i="1"/>
  <c r="E174" i="1"/>
  <c r="H173" i="1"/>
  <c r="F173" i="1"/>
  <c r="E173" i="1"/>
  <c r="H171" i="1"/>
  <c r="F171" i="1"/>
  <c r="E171" i="1"/>
  <c r="H170" i="1"/>
  <c r="F170" i="1"/>
  <c r="E170" i="1"/>
  <c r="H169" i="1"/>
  <c r="F169" i="1"/>
  <c r="E169" i="1"/>
  <c r="H168" i="1"/>
  <c r="F168" i="1"/>
  <c r="E168" i="1"/>
  <c r="H167" i="1"/>
  <c r="F167" i="1"/>
  <c r="E167" i="1"/>
  <c r="H165" i="1"/>
  <c r="F165" i="1"/>
  <c r="E165" i="1"/>
  <c r="H164" i="1"/>
  <c r="F164" i="1"/>
  <c r="E164" i="1"/>
  <c r="H163" i="1"/>
  <c r="F163" i="1"/>
  <c r="E163" i="1"/>
  <c r="H160" i="1"/>
  <c r="F159" i="1"/>
  <c r="F158" i="1" s="1"/>
  <c r="F157" i="1" s="1"/>
  <c r="E159" i="1"/>
  <c r="E158" i="1" s="1"/>
  <c r="E157" i="1" s="1"/>
  <c r="F156" i="1"/>
  <c r="E156" i="1"/>
  <c r="E155" i="1" s="1"/>
  <c r="F154" i="1"/>
  <c r="E154" i="1"/>
  <c r="F153" i="1"/>
  <c r="E153" i="1"/>
  <c r="H147" i="1"/>
  <c r="H146" i="1" s="1"/>
  <c r="E148" i="1"/>
  <c r="E147" i="1" s="1"/>
  <c r="E146" i="1" s="1"/>
  <c r="H145" i="1"/>
  <c r="H144" i="1" s="1"/>
  <c r="H143" i="1" s="1"/>
  <c r="F145" i="1"/>
  <c r="F144" i="1" s="1"/>
  <c r="F143" i="1" s="1"/>
  <c r="E145" i="1"/>
  <c r="E144" i="1" s="1"/>
  <c r="E143" i="1" s="1"/>
  <c r="H141" i="1"/>
  <c r="H140" i="1" s="1"/>
  <c r="H139" i="1" s="1"/>
  <c r="F141" i="1"/>
  <c r="F140" i="1" s="1"/>
  <c r="F139" i="1" s="1"/>
  <c r="E141" i="1"/>
  <c r="E140" i="1" s="1"/>
  <c r="E139" i="1" s="1"/>
  <c r="H138" i="1"/>
  <c r="F138" i="1"/>
  <c r="E138" i="1"/>
  <c r="H137" i="1"/>
  <c r="F137" i="1"/>
  <c r="E137" i="1"/>
  <c r="H134" i="1"/>
  <c r="H133" i="1" s="1"/>
  <c r="F134" i="1"/>
  <c r="F133" i="1" s="1"/>
  <c r="E134" i="1"/>
  <c r="E133" i="1" s="1"/>
  <c r="H132" i="1"/>
  <c r="F132" i="1"/>
  <c r="E132" i="1"/>
  <c r="H131" i="1"/>
  <c r="F131" i="1"/>
  <c r="E131" i="1"/>
  <c r="H129" i="1"/>
  <c r="F129" i="1"/>
  <c r="E129" i="1"/>
  <c r="H128" i="1"/>
  <c r="F128" i="1"/>
  <c r="E128" i="1"/>
  <c r="H127" i="1"/>
  <c r="F127" i="1"/>
  <c r="E127" i="1"/>
  <c r="H126" i="1"/>
  <c r="F126" i="1"/>
  <c r="E126" i="1"/>
  <c r="H122" i="1"/>
  <c r="H121" i="1" s="1"/>
  <c r="H120" i="1" s="1"/>
  <c r="F122" i="1"/>
  <c r="E122" i="1"/>
  <c r="E121" i="1" s="1"/>
  <c r="E120" i="1" s="1"/>
  <c r="H119" i="1"/>
  <c r="F119" i="1"/>
  <c r="E119" i="1"/>
  <c r="H118" i="1"/>
  <c r="F118" i="1"/>
  <c r="E118" i="1"/>
  <c r="H116" i="1"/>
  <c r="H115" i="1" s="1"/>
  <c r="H114" i="1" s="1"/>
  <c r="F116" i="1"/>
  <c r="F115" i="1" s="1"/>
  <c r="F114" i="1" s="1"/>
  <c r="E116" i="1"/>
  <c r="E115" i="1" s="1"/>
  <c r="E114" i="1" s="1"/>
  <c r="H113" i="1"/>
  <c r="H112" i="1" s="1"/>
  <c r="F113" i="1"/>
  <c r="E113" i="1"/>
  <c r="E112" i="1" s="1"/>
  <c r="H111" i="1"/>
  <c r="F111" i="1"/>
  <c r="E111" i="1"/>
  <c r="H110" i="1"/>
  <c r="F110" i="1"/>
  <c r="E110" i="1"/>
  <c r="H107" i="1"/>
  <c r="F107" i="1"/>
  <c r="E107" i="1"/>
  <c r="H106" i="1"/>
  <c r="H105" i="1" s="1"/>
  <c r="F106" i="1"/>
  <c r="F105" i="1" s="1"/>
  <c r="E106" i="1"/>
  <c r="E105" i="1" s="1"/>
  <c r="H104" i="1"/>
  <c r="F104" i="1"/>
  <c r="E104" i="1"/>
  <c r="H103" i="1"/>
  <c r="F103" i="1"/>
  <c r="E103" i="1"/>
  <c r="H102" i="1"/>
  <c r="F102" i="1"/>
  <c r="E102" i="1"/>
  <c r="H101" i="1"/>
  <c r="F101" i="1"/>
  <c r="E101" i="1"/>
  <c r="H49" i="1"/>
  <c r="F49" i="1"/>
  <c r="E49" i="1"/>
  <c r="H48" i="1"/>
  <c r="F48" i="1"/>
  <c r="E48" i="1"/>
  <c r="H46" i="1"/>
  <c r="H45" i="1" s="1"/>
  <c r="H44" i="1" s="1"/>
  <c r="F46" i="1"/>
  <c r="F45" i="1" s="1"/>
  <c r="F44" i="1" s="1"/>
  <c r="E46" i="1"/>
  <c r="E45" i="1" s="1"/>
  <c r="E44" i="1" s="1"/>
  <c r="H43" i="1"/>
  <c r="F43" i="1"/>
  <c r="E43" i="1"/>
  <c r="H42" i="1"/>
  <c r="F42" i="1"/>
  <c r="E42" i="1"/>
  <c r="H40" i="1"/>
  <c r="H39" i="1" s="1"/>
  <c r="F40" i="1"/>
  <c r="F39" i="1" s="1"/>
  <c r="E40" i="1"/>
  <c r="E39" i="1" s="1"/>
  <c r="H38" i="1"/>
  <c r="H37" i="1" s="1"/>
  <c r="F38" i="1"/>
  <c r="F37" i="1" s="1"/>
  <c r="E38" i="1"/>
  <c r="E37" i="1" s="1"/>
  <c r="H35" i="1"/>
  <c r="H34" i="1" s="1"/>
  <c r="H33" i="1" s="1"/>
  <c r="F35" i="1"/>
  <c r="F34" i="1" s="1"/>
  <c r="F33" i="1" s="1"/>
  <c r="E35" i="1"/>
  <c r="E34" i="1" s="1"/>
  <c r="E33" i="1" s="1"/>
  <c r="H32" i="1"/>
  <c r="H31" i="1" s="1"/>
  <c r="F32" i="1"/>
  <c r="F31" i="1" s="1"/>
  <c r="E32" i="1"/>
  <c r="E31" i="1" s="1"/>
  <c r="H30" i="1"/>
  <c r="F30" i="1"/>
  <c r="E30" i="1"/>
  <c r="H29" i="1"/>
  <c r="F29" i="1"/>
  <c r="E29" i="1"/>
  <c r="H26" i="1"/>
  <c r="H25" i="1" s="1"/>
  <c r="F26" i="1"/>
  <c r="F25" i="1" s="1"/>
  <c r="E26" i="1"/>
  <c r="E25" i="1" s="1"/>
  <c r="H24" i="1"/>
  <c r="F24" i="1"/>
  <c r="E24" i="1"/>
  <c r="H23" i="1"/>
  <c r="F23" i="1"/>
  <c r="E23" i="1"/>
  <c r="H22" i="1"/>
  <c r="F22" i="1"/>
  <c r="E22" i="1"/>
  <c r="H19" i="1"/>
  <c r="H18" i="1" s="1"/>
  <c r="F19" i="1"/>
  <c r="F18" i="1" s="1"/>
  <c r="E19" i="1"/>
  <c r="E18" i="1" s="1"/>
  <c r="H17" i="1"/>
  <c r="H16" i="1" s="1"/>
  <c r="F17" i="1"/>
  <c r="F16" i="1" s="1"/>
  <c r="E17" i="1"/>
  <c r="E16" i="1" s="1"/>
  <c r="H13" i="1"/>
  <c r="F13" i="1"/>
  <c r="E13" i="1"/>
  <c r="H12" i="1"/>
  <c r="F12" i="1"/>
  <c r="E12" i="1"/>
  <c r="H11" i="1"/>
  <c r="F11" i="1"/>
  <c r="E11" i="1"/>
  <c r="H10" i="1"/>
  <c r="F10" i="1"/>
  <c r="E10" i="1"/>
  <c r="H9" i="1"/>
  <c r="F9" i="1"/>
  <c r="E9" i="1"/>
  <c r="H6" i="1"/>
  <c r="H5" i="1" s="1"/>
  <c r="F6" i="1"/>
  <c r="F5" i="1" s="1"/>
  <c r="E6" i="1"/>
  <c r="E5" i="1" s="1"/>
  <c r="F420" i="1" l="1"/>
  <c r="F77" i="1"/>
  <c r="H350" i="1"/>
  <c r="E350" i="1"/>
  <c r="E52" i="1"/>
  <c r="E77" i="1"/>
  <c r="F325" i="1"/>
  <c r="H66" i="1"/>
  <c r="H254" i="1"/>
  <c r="E259" i="1"/>
  <c r="E258" i="1" s="1"/>
  <c r="E282" i="1"/>
  <c r="E413" i="1"/>
  <c r="F88" i="1"/>
  <c r="E81" i="1"/>
  <c r="E80" i="1" s="1"/>
  <c r="H94" i="1"/>
  <c r="H93" i="1" s="1"/>
  <c r="H81" i="1"/>
  <c r="H80" i="1" s="1"/>
  <c r="E94" i="1"/>
  <c r="E93" i="1" s="1"/>
  <c r="E393" i="1"/>
  <c r="E392" i="1" s="1"/>
  <c r="H398" i="1"/>
  <c r="H396" i="1" s="1"/>
  <c r="F424" i="1"/>
  <c r="F423" i="1" s="1"/>
  <c r="H424" i="1"/>
  <c r="H423" i="1" s="1"/>
  <c r="E436" i="1"/>
  <c r="E66" i="1"/>
  <c r="F66" i="1"/>
  <c r="F81" i="1"/>
  <c r="H413" i="1"/>
  <c r="F52" i="1"/>
  <c r="F407" i="1"/>
  <c r="H52" i="1"/>
  <c r="H77" i="1"/>
  <c r="F94" i="1"/>
  <c r="E412" i="1"/>
  <c r="E254" i="1"/>
  <c r="F372" i="1"/>
  <c r="E389" i="1"/>
  <c r="H404" i="1"/>
  <c r="H402" i="1" s="1"/>
  <c r="H411" i="1" s="1"/>
  <c r="F404" i="1"/>
  <c r="F402" i="1" s="1"/>
  <c r="E404" i="1"/>
  <c r="E402" i="1" s="1"/>
  <c r="E411" i="1" s="1"/>
  <c r="E424" i="1"/>
  <c r="F413" i="1"/>
  <c r="F412" i="1" s="1"/>
  <c r="H412" i="1"/>
  <c r="H372" i="1"/>
  <c r="E377" i="1"/>
  <c r="H385" i="1"/>
  <c r="E237" i="1"/>
  <c r="H389" i="1"/>
  <c r="F398" i="1"/>
  <c r="H377" i="1"/>
  <c r="F237" i="1"/>
  <c r="F251" i="1" s="1"/>
  <c r="F297" i="1"/>
  <c r="F296" i="1" s="1"/>
  <c r="H306" i="1"/>
  <c r="H305" i="1" s="1"/>
  <c r="E309" i="1"/>
  <c r="E374" i="1"/>
  <c r="E385" i="1"/>
  <c r="F389" i="1"/>
  <c r="H393" i="1"/>
  <c r="H392" i="1" s="1"/>
  <c r="E396" i="1"/>
  <c r="E372" i="1"/>
  <c r="E361" i="1"/>
  <c r="E357" i="1" s="1"/>
  <c r="E355" i="1" s="1"/>
  <c r="E368" i="1"/>
  <c r="E367" i="1" s="1"/>
  <c r="E366" i="1" s="1"/>
  <c r="F377" i="1"/>
  <c r="F385" i="1"/>
  <c r="F392" i="1"/>
  <c r="H361" i="1"/>
  <c r="H368" i="1"/>
  <c r="H367" i="1" s="1"/>
  <c r="H366" i="1" s="1"/>
  <c r="H237" i="1"/>
  <c r="H251" i="1" s="1"/>
  <c r="F306" i="1"/>
  <c r="F313" i="1"/>
  <c r="F312" i="1" s="1"/>
  <c r="F361" i="1"/>
  <c r="F368" i="1"/>
  <c r="H357" i="1"/>
  <c r="H355" i="1" s="1"/>
  <c r="F269" i="1"/>
  <c r="E297" i="1"/>
  <c r="F309" i="1"/>
  <c r="H313" i="1"/>
  <c r="H312" i="1" s="1"/>
  <c r="E313" i="1"/>
  <c r="H269" i="1"/>
  <c r="H268" i="1" s="1"/>
  <c r="H266" i="1" s="1"/>
  <c r="E286" i="1"/>
  <c r="E285" i="1" s="1"/>
  <c r="E306" i="1"/>
  <c r="E305" i="1" s="1"/>
  <c r="H309" i="1"/>
  <c r="F286" i="1"/>
  <c r="E290" i="1"/>
  <c r="H297" i="1"/>
  <c r="H296" i="1" s="1"/>
  <c r="F255" i="1"/>
  <c r="F254" i="1" s="1"/>
  <c r="F282" i="1"/>
  <c r="H286" i="1"/>
  <c r="H285" i="1" s="1"/>
  <c r="F290" i="1"/>
  <c r="H259" i="1"/>
  <c r="H258" i="1" s="1"/>
  <c r="H282" i="1"/>
  <c r="H290" i="1"/>
  <c r="E269" i="1"/>
  <c r="E268" i="1" s="1"/>
  <c r="E266" i="1" s="1"/>
  <c r="E240" i="1"/>
  <c r="E244" i="1"/>
  <c r="F259" i="1"/>
  <c r="F216" i="1"/>
  <c r="E229" i="1"/>
  <c r="E228" i="1" s="1"/>
  <c r="H177" i="1"/>
  <c r="H187" i="1"/>
  <c r="F181" i="1"/>
  <c r="F192" i="1"/>
  <c r="H149" i="1"/>
  <c r="E152" i="1"/>
  <c r="E151" i="1" s="1"/>
  <c r="E150" i="1" s="1"/>
  <c r="E160" i="1" s="1"/>
  <c r="E172" i="1"/>
  <c r="H192" i="1"/>
  <c r="H216" i="1"/>
  <c r="H215" i="1" s="1"/>
  <c r="F152" i="1"/>
  <c r="F151" i="1" s="1"/>
  <c r="F155" i="1"/>
  <c r="F162" i="1"/>
  <c r="E166" i="1"/>
  <c r="F172" i="1"/>
  <c r="E204" i="1"/>
  <c r="H209" i="1"/>
  <c r="H203" i="1" s="1"/>
  <c r="H197" i="1"/>
  <c r="E197" i="1"/>
  <c r="H162" i="1"/>
  <c r="E149" i="1"/>
  <c r="H166" i="1"/>
  <c r="H172" i="1"/>
  <c r="F177" i="1"/>
  <c r="E187" i="1"/>
  <c r="F209" i="1"/>
  <c r="F229" i="1"/>
  <c r="F149" i="1"/>
  <c r="E162" i="1"/>
  <c r="E181" i="1"/>
  <c r="F187" i="1"/>
  <c r="E192" i="1"/>
  <c r="F197" i="1"/>
  <c r="E209" i="1"/>
  <c r="E216" i="1"/>
  <c r="E215" i="1" s="1"/>
  <c r="H229" i="1"/>
  <c r="H228" i="1" s="1"/>
  <c r="H130" i="1"/>
  <c r="F166" i="1"/>
  <c r="E177" i="1"/>
  <c r="H181" i="1"/>
  <c r="E125" i="1"/>
  <c r="F125" i="1"/>
  <c r="F112" i="1"/>
  <c r="E117" i="1"/>
  <c r="E136" i="1"/>
  <c r="E135" i="1" s="1"/>
  <c r="E41" i="1"/>
  <c r="F117" i="1"/>
  <c r="E130" i="1"/>
  <c r="F136" i="1"/>
  <c r="E109" i="1"/>
  <c r="E108" i="1" s="1"/>
  <c r="H117" i="1"/>
  <c r="F121" i="1"/>
  <c r="H125" i="1"/>
  <c r="F130" i="1"/>
  <c r="H136" i="1"/>
  <c r="H135" i="1" s="1"/>
  <c r="F109" i="1"/>
  <c r="H109" i="1"/>
  <c r="H108" i="1" s="1"/>
  <c r="E100" i="1"/>
  <c r="E99" i="1" s="1"/>
  <c r="E98" i="1" s="1"/>
  <c r="F100" i="1"/>
  <c r="H100" i="1"/>
  <c r="H99" i="1" s="1"/>
  <c r="H98" i="1" s="1"/>
  <c r="F15" i="1"/>
  <c r="E15" i="1"/>
  <c r="F21" i="1"/>
  <c r="F28" i="1"/>
  <c r="H28" i="1"/>
  <c r="H27" i="1" s="1"/>
  <c r="H41" i="1"/>
  <c r="H36" i="1" s="1"/>
  <c r="E47" i="1"/>
  <c r="E21" i="1"/>
  <c r="E20" i="1" s="1"/>
  <c r="F47" i="1"/>
  <c r="H8" i="1"/>
  <c r="H7" i="1" s="1"/>
  <c r="H14" i="1" s="1"/>
  <c r="F8" i="1"/>
  <c r="H47" i="1"/>
  <c r="H21" i="1"/>
  <c r="H20" i="1" s="1"/>
  <c r="E28" i="1"/>
  <c r="E27" i="1" s="1"/>
  <c r="F41" i="1"/>
  <c r="E36" i="1"/>
  <c r="H15" i="1"/>
  <c r="E8" i="1"/>
  <c r="E7" i="1" s="1"/>
  <c r="E14" i="1" s="1"/>
  <c r="E423" i="1" l="1"/>
  <c r="E265" i="1"/>
  <c r="E51" i="1"/>
  <c r="E97" i="1" s="1"/>
  <c r="H265" i="1"/>
  <c r="F350" i="1"/>
  <c r="F80" i="1"/>
  <c r="F93" i="1"/>
  <c r="F51" i="1"/>
  <c r="H51" i="1"/>
  <c r="H97" i="1" s="1"/>
  <c r="H376" i="1"/>
  <c r="H401" i="1" s="1"/>
  <c r="E440" i="1"/>
  <c r="F396" i="1"/>
  <c r="E371" i="1"/>
  <c r="F411" i="1"/>
  <c r="H324" i="1"/>
  <c r="H371" i="1"/>
  <c r="E401" i="1"/>
  <c r="E376" i="1"/>
  <c r="F367" i="1"/>
  <c r="F376" i="1"/>
  <c r="F357" i="1"/>
  <c r="H295" i="1"/>
  <c r="F305" i="1"/>
  <c r="E295" i="1"/>
  <c r="E312" i="1"/>
  <c r="E296" i="1"/>
  <c r="F285" i="1"/>
  <c r="F268" i="1"/>
  <c r="H191" i="1"/>
  <c r="F258" i="1"/>
  <c r="F124" i="1"/>
  <c r="E243" i="1"/>
  <c r="F228" i="1"/>
  <c r="F215" i="1"/>
  <c r="E191" i="1"/>
  <c r="F203" i="1"/>
  <c r="E124" i="1"/>
  <c r="E142" i="1" s="1"/>
  <c r="F191" i="1"/>
  <c r="E161" i="1"/>
  <c r="H161" i="1"/>
  <c r="F161" i="1"/>
  <c r="F150" i="1"/>
  <c r="E203" i="1"/>
  <c r="H124" i="1"/>
  <c r="H142" i="1" s="1"/>
  <c r="E123" i="1"/>
  <c r="F135" i="1"/>
  <c r="F99" i="1"/>
  <c r="H123" i="1"/>
  <c r="F108" i="1"/>
  <c r="F120" i="1"/>
  <c r="H50" i="1"/>
  <c r="F20" i="1"/>
  <c r="F36" i="1"/>
  <c r="E50" i="1"/>
  <c r="F27" i="1"/>
  <c r="F7" i="1"/>
  <c r="F97" i="1" l="1"/>
  <c r="H236" i="1"/>
  <c r="E324" i="1"/>
  <c r="F324" i="1"/>
  <c r="F401" i="1"/>
  <c r="F355" i="1"/>
  <c r="F366" i="1"/>
  <c r="F266" i="1"/>
  <c r="F265" i="1"/>
  <c r="E251" i="1"/>
  <c r="E236" i="1"/>
  <c r="F236" i="1"/>
  <c r="F160" i="1"/>
  <c r="F142" i="1"/>
  <c r="F98" i="1"/>
  <c r="F50" i="1"/>
  <c r="F14" i="1"/>
  <c r="F371" i="1" l="1"/>
  <c r="F295" i="1"/>
  <c r="F123" i="1"/>
</calcChain>
</file>

<file path=xl/sharedStrings.xml><?xml version="1.0" encoding="utf-8"?>
<sst xmlns="http://schemas.openxmlformats.org/spreadsheetml/2006/main" count="1350" uniqueCount="674">
  <si>
    <t>№ п/п</t>
  </si>
  <si>
    <t>Наименование муниципальной программы</t>
  </si>
  <si>
    <t>Наименования подпрограммы, мероприятия</t>
  </si>
  <si>
    <t>Степень и результаты выполнения  мероприятия в соответствии с перечнем стандартных процедур</t>
  </si>
  <si>
    <t>Профинансировано (тыс. руб.)</t>
  </si>
  <si>
    <t>Здравоохранение</t>
  </si>
  <si>
    <t>Подпрограмма 1</t>
  </si>
  <si>
    <t>Профилактика заболеваний и формирование здорового образа жизни. Развитие первичной медико-санитарной помощи</t>
  </si>
  <si>
    <t>Финансирование не предусмотрено</t>
  </si>
  <si>
    <t>Основное мероприятие 3.</t>
  </si>
  <si>
    <t>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</t>
  </si>
  <si>
    <t>Подпрограмма 5</t>
  </si>
  <si>
    <t>Финансовое обеспечение системы организации медицинской помощи</t>
  </si>
  <si>
    <t>Развитие мер социальной поддержки медицинских работников</t>
  </si>
  <si>
    <t>Стимулирование привлечения медицинских и фармацевтических работников для работы в медицинских организациях</t>
  </si>
  <si>
    <t>Установление медицинским и фармацевтическим работникам медицинских организаций дополнительных гарантий и мер социальной поддержки</t>
  </si>
  <si>
    <t>Итого по муниципальной программе</t>
  </si>
  <si>
    <t xml:space="preserve">Культура </t>
  </si>
  <si>
    <t>Подпрограмма 2</t>
  </si>
  <si>
    <t>Основное мероприятие 1.</t>
  </si>
  <si>
    <t>Обеспечение выполнения функций муниципальных музеев</t>
  </si>
  <si>
    <t>Расходы на обеспечение деятельности (оказание услуг) муниципальных учреждений - музеи, галереи</t>
  </si>
  <si>
    <t>Подпрограмма 3</t>
  </si>
  <si>
    <t>Организация библиотечного обслуживания населения муниципальными библиотеками Московской области</t>
  </si>
  <si>
    <t>Расходы на обеспечение деятельности (оказание услуг) муниципальных учреждений - библиотеки</t>
  </si>
  <si>
    <t>Подпрограмма 4</t>
  </si>
  <si>
    <t>Основное мероприятие 5.</t>
  </si>
  <si>
    <t>Обеспечение функций культурно-досуговых учреждений</t>
  </si>
  <si>
    <t>Расходы на обеспечение деятельности (оказание услуг) муниципальных учреждений - культурно-досуговые учреждения</t>
  </si>
  <si>
    <t>Мероприятия в сфере культуры</t>
  </si>
  <si>
    <t>Подпрограмма 7</t>
  </si>
  <si>
    <t>Основное мероприятие 2.</t>
  </si>
  <si>
    <t>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</t>
  </si>
  <si>
    <t>Подпрограмма 8</t>
  </si>
  <si>
    <t>Обеспечивающая подпрограмма</t>
  </si>
  <si>
    <t>Создание условий для реализации полномочий органов местного самоуправления</t>
  </si>
  <si>
    <t>Обеспечение деятельности муниципальных органов - учреждения в сфере культуры</t>
  </si>
  <si>
    <t>Подпрограмма 9</t>
  </si>
  <si>
    <t xml:space="preserve">Образование </t>
  </si>
  <si>
    <t>Выполнено на 0%</t>
  </si>
  <si>
    <t>Проведение капитального ремонта, технического переоснащения и благоустройства территорий учреждений образования</t>
  </si>
  <si>
    <t>Расходы на обеспечение деятельности (оказание услуг) муниципальных учреждений - дошкольные образовательные организации</t>
  </si>
  <si>
    <t>Укрепление материально-технической базы и проведение текущего ремонта учреждений дошкольного образования</t>
  </si>
  <si>
    <t>Профессиональная физическая охрана муниципальных учреждений дошкольного образования</t>
  </si>
  <si>
    <t>Мероприятия в сфере образования</t>
  </si>
  <si>
    <t>Общее образование</t>
  </si>
  <si>
    <t>Финансовое обеспечение деятельности образовательных организаций</t>
  </si>
  <si>
    <t>Укрепление материально-технической базы и проведение текущего ремонта общеобразовательных организаций</t>
  </si>
  <si>
    <t>Профессиональная физическая охрана муниципальных учреждений в сфере общеобразовательных организаций</t>
  </si>
  <si>
    <t>Организация питания обучающихся и воспитанников общеобразовательных организаций</t>
  </si>
  <si>
    <t>Оснащение и лицензирование медицинских кабинетов образовательных организаций</t>
  </si>
  <si>
    <t>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</t>
  </si>
  <si>
    <t>Успех каждого ребенка</t>
  </si>
  <si>
    <t>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</t>
  </si>
  <si>
    <t>Дополнительное образование, воспитание и психолого-социальное сопровождение детей</t>
  </si>
  <si>
    <t>Культурная среда</t>
  </si>
  <si>
    <t>Цифровая образовательная среда</t>
  </si>
  <si>
    <t>Расходы на обеспечение деятельности (оказание услуг) муниципальных учреждений - организации дополнительного образования</t>
  </si>
  <si>
    <t>Укрепление материально-технической базы и проведение текущего ремонта учреждений дополнительного образования</t>
  </si>
  <si>
    <t>Профессиональная физическая охрана муниципальных учреждений дополнительного образования</t>
  </si>
  <si>
    <t>Основное мероприятие 4.</t>
  </si>
  <si>
    <t>Обеспечение функционирования модели персонифицированного финансирования дополнительного образования детей</t>
  </si>
  <si>
    <t>Обеспечение деятельности муниципальных органов - учреждения в сфере образования</t>
  </si>
  <si>
    <t>Социальная защита населения</t>
  </si>
  <si>
    <t>Социальная поддержка граждан</t>
  </si>
  <si>
    <t>Предоставление государственных гарантий муниципальным служащим, поощрение за муниципальную службу</t>
  </si>
  <si>
    <t>Организация выплаты пенсии за выслугу лет лицам, замещающим муниципальные должности и должности муниципальной службы, в связи с выходом на пенсию</t>
  </si>
  <si>
    <t>Оказание материальной помощи и компенсаций на приобретение современных лекарственных средств, для лечения больных злокачественными новообразованиями</t>
  </si>
  <si>
    <t>Оказание материальной помощи и компенсаций жителям города Реутов, оказавшимся в трудной жизненной ситуации, в том числе в связи с заболеванием, и на приобретение лекарственных препаратов, не входящих в список жизненно необходимых и важнейших лекарственных средств (ЖНВЛС)</t>
  </si>
  <si>
    <t>Выплата на обучающегося, предоставляемая многодетной семье на приобретение одежды ребенку для посещения занятий на период его обучения в государственной образовательной организации или муниципальной образовательной организации, расположенной не в Московской области, осуществляющей образовательную деятельность по образовательным программам начального, общего, основного общего, среднего общего образования</t>
  </si>
  <si>
    <t>Развитие системы отдыха и оздоровления детей</t>
  </si>
  <si>
    <t>Мероприятия по организации отдыха детей в каникулярное время</t>
  </si>
  <si>
    <t>Профилактика производственного травматизма</t>
  </si>
  <si>
    <t>Развитие и поддержка социально ориентированных некоммерческих организаций</t>
  </si>
  <si>
    <t>Осуществление имущественной, информационной и консультационной поддержки СО НКО</t>
  </si>
  <si>
    <t xml:space="preserve">Спорт </t>
  </si>
  <si>
    <t>Развитие физической культуры и спорта</t>
  </si>
  <si>
    <t>Обеспечение условий для развития на территории городского округа физической культуры, школьного спорта и массового спорта</t>
  </si>
  <si>
    <t>Подготовка спортивного резерва</t>
  </si>
  <si>
    <t xml:space="preserve">Развитие сельского хозяйства </t>
  </si>
  <si>
    <t>Экология и окружающая среда</t>
  </si>
  <si>
    <t>Безопасность и обеспечение безопасности жизнедеятельности населения</t>
  </si>
  <si>
    <t>Профилактика преступлений и иных правонарушений</t>
  </si>
  <si>
    <t>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</si>
  <si>
    <t>Обеспечение деятельности общественных объединений правоохранительной направленности</t>
  </si>
  <si>
    <t>Материальное стимулирование народных дружинников</t>
  </si>
  <si>
    <t>Проведение мероприятий по обеспечению правопорядка и безопасности граждан</t>
  </si>
  <si>
    <t>Проведение мероприятий по профилактике экстремизма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</si>
  <si>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</si>
  <si>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</si>
  <si>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Создание и содержание курсов гражданской обороны</t>
  </si>
  <si>
    <t>Повышение степени пожарной безопасности</t>
  </si>
  <si>
    <t>Содержание пожарных гидрантов, обеспечение их исправного состояния и готовности к забору воды в любое время года</t>
  </si>
  <si>
    <t>Подпрограмма 6</t>
  </si>
  <si>
    <t xml:space="preserve">Жилище </t>
  </si>
  <si>
    <t>Основное мероприятие 7.</t>
  </si>
  <si>
    <t>Обеспечение жильем молодых семей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</si>
  <si>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</si>
  <si>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Развитие инженерной инфраструктуры и энергоэффективности</t>
  </si>
  <si>
    <t>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</t>
  </si>
  <si>
    <t>Энергосбережение и повышение энергетической эффективности</t>
  </si>
  <si>
    <t xml:space="preserve">Предпринимательство </t>
  </si>
  <si>
    <t>Инвестиции</t>
  </si>
  <si>
    <t>Осуществление мероприятий по реализации стратегий социально-экономического развития наукоградов Российской Федерации</t>
  </si>
  <si>
    <t>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сохранению и развитию инфраструктуры наукоградов Российской Федерации</t>
  </si>
  <si>
    <t>Развитие конкуренции</t>
  </si>
  <si>
    <t>Развитие малого и среднего предпринимательства</t>
  </si>
  <si>
    <t>Реализация механизмов муниципальной поддержки субъектов малого и среднего предпринимательства</t>
  </si>
  <si>
    <t>Развитие потребительского рынка и услуг на территории муниципального образования Московской области</t>
  </si>
  <si>
    <t>Развитие сферы общественного питания на территории муниципального образования Московской области</t>
  </si>
  <si>
    <t>Развитие сферы бытовых услуг на территории муниципального образования Московской области</t>
  </si>
  <si>
    <t>Участие в организации региональной системы защиты прав потребителей</t>
  </si>
  <si>
    <t xml:space="preserve">Управление имуществом и муниципальными финансами </t>
  </si>
  <si>
    <t>Расходы, связанные с владением, пользованием и распоряжением имуществом, находящимся в муниципальной собственности городского округа</t>
  </si>
  <si>
    <t>Взносы на капитальный ремонт общего имущества многоквартирных домов</t>
  </si>
  <si>
    <t>Создание условий для реализации государственных полномочий в области земельных отношений</t>
  </si>
  <si>
    <t>Обеспечение деятельности муниципальных органов в сфере земельно-имущественных отношений</t>
  </si>
  <si>
    <t>Управление муниципальными финансами</t>
  </si>
  <si>
    <t>Управление муниципальным долгом</t>
  </si>
  <si>
    <t>Обслуживание муниципального долга по бюджетным кредитам</t>
  </si>
  <si>
    <t>Обслуживание муниципального долга по коммерческим кредитам</t>
  </si>
  <si>
    <t>Расходы на обеспечение деятельности администрации</t>
  </si>
  <si>
    <t>Обеспечение деятельности финансового органа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</si>
  <si>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</si>
  <si>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</si>
  <si>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Взносы в общественные организации (Уплата членских взносов членами Совета муниципальных образований Московской области)</t>
  </si>
  <si>
    <t>Развитие институтов гражданского общества, повышение эффективностиместного самоуправления и реализации молодежной политики</t>
  </si>
  <si>
    <t>Развитие и функционирование дорожно - транспортного комплекса</t>
  </si>
  <si>
    <t>Пассажирский транспорт общего пользования</t>
  </si>
  <si>
    <t>Дороги Подмосковья</t>
  </si>
  <si>
    <t>Строительство и реконструкция автомобильных дорог местного значения</t>
  </si>
  <si>
    <t>Ремонт, капитальный ремонт сети автомобильных дорог, мостов и путепроводов местного значения</t>
  </si>
  <si>
    <t>Дорожная деятельность в отношении автомобильных дорог местного значения в границах городского округа</t>
  </si>
  <si>
    <t>Мероприятия по обеспечению безопасности дорожного движения</t>
  </si>
  <si>
    <t>Создание и обеспечение функционирования парковок (парковочных мест)</t>
  </si>
  <si>
    <t>Расходы на обеспечение деятельности (оказание услуг) муниципальных учреждений в сфере дорожного хозяйства</t>
  </si>
  <si>
    <t xml:space="preserve">Цифровое муниципальное образование </t>
  </si>
  <si>
    <t>Организация деятельности многофункциональных центров предоставления государственных и муниципальных услуг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</si>
  <si>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</si>
  <si>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Обеспечение оборудованием и поддержание работоспособности многофункциональных центров предоставления государственных и муниципальных услуг</t>
  </si>
  <si>
    <t>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</si>
  <si>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</si>
  <si>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Информационная инфраструктура</t>
  </si>
  <si>
    <t>Обеспечение доступности для населения муниципального образования Московской области современных услуг широкополосного доступа в сеть Интернет</t>
  </si>
  <si>
    <t>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</t>
  </si>
  <si>
    <t>Обеспечение оборудованием и поддержание его работоспособности</t>
  </si>
  <si>
    <t>Информационная безопасность</t>
  </si>
  <si>
    <t>Приобретение, установка, настройка,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проведение мероприятий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</si>
  <si>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Цифровое государственное управление</t>
  </si>
  <si>
    <t>Обеспечение программными продуктами</t>
  </si>
  <si>
    <t>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</t>
  </si>
  <si>
    <t>Развитие и сопровождение муниципальных информационных систем обеспечения деятельности ОМСУ муниципального образования Московской области</t>
  </si>
  <si>
    <t>Основное мероприятие E4.</t>
  </si>
  <si>
    <t xml:space="preserve">Архитектура и градостроительство </t>
  </si>
  <si>
    <t>Обеспечение разработки и внесение изменений в нормативы градостроительного проектирования городского округа</t>
  </si>
  <si>
    <t xml:space="preserve">Формирование современной комфортной городской среды </t>
  </si>
  <si>
    <t>Комфортная городская среда</t>
  </si>
  <si>
    <t>Благоустройство общественных территорий муниципальных образований Московской области</t>
  </si>
  <si>
    <t>Основное мероприятие F2.</t>
  </si>
  <si>
    <t>Формирование комфортной городской среды</t>
  </si>
  <si>
    <t>Реализация программ формирования современной городской среды в части благоустройства общественных территорий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</si>
  <si>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</si>
  <si>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Ремонт дворовых территорий</t>
  </si>
  <si>
    <t>Содержание, ремонт и восстановление уличного освещения</t>
  </si>
  <si>
    <t>Приведение в надлежащее состояние подъездов в многоквартирных домах</t>
  </si>
  <si>
    <t>Ремонт подъездов в многоквартирных домах</t>
  </si>
  <si>
    <t xml:space="preserve">Строительство объектов социальной инфраструктуры </t>
  </si>
  <si>
    <t>Хранение, комплектование, учет и использование архивных документов в муниципальных архивах</t>
  </si>
  <si>
    <t>Основное мероприятие P2.</t>
  </si>
  <si>
    <t>Основное мероприятие E2.</t>
  </si>
  <si>
    <t>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</si>
  <si>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Обеспечение пожарной безопасности на территории муниципального образования Московской области</t>
  </si>
  <si>
    <t>Обеспечение мероприятий гражданской обороны на территории муниципального образования Московской области</t>
  </si>
  <si>
    <t>Разработка Генерального плана развития городского округа</t>
  </si>
  <si>
    <t>Основное мероприятие A1.</t>
  </si>
  <si>
    <t>Охрана окружающей среды</t>
  </si>
  <si>
    <t>Проведение обследований состояния окружающей среды</t>
  </si>
  <si>
    <t>Вовлечение населения в экологические мероприятия</t>
  </si>
  <si>
    <t>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</si>
  <si>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>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</si>
  <si>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Ямочный ремонт асфальтового покрытия дворовых территорий</t>
  </si>
  <si>
    <t>Реализация политики пространственного развития городского округа</t>
  </si>
  <si>
    <t>Основное мероприятие 8.</t>
  </si>
  <si>
    <t>Организация и проведение мероприятий по обучению, переобучению, повышению квалификации и обмену опытом специалистов</t>
  </si>
  <si>
    <t>Проведение капитального ремонта объектов дошкольного образования, закупка оборудования</t>
  </si>
  <si>
    <t>Содействие занятости</t>
  </si>
  <si>
    <t>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</si>
  <si>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</si>
  <si>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Мероприятие 3.1.</t>
  </si>
  <si>
    <t>Мероприятие 3.2.</t>
  </si>
  <si>
    <t>Мероприятие 1.1.</t>
  </si>
  <si>
    <t>Мероприятие 1.2.</t>
  </si>
  <si>
    <t>Мероприятие 1.2.1.</t>
  </si>
  <si>
    <t>Мероприятие 1.2.2.</t>
  </si>
  <si>
    <t>Мероприятие 1.4.</t>
  </si>
  <si>
    <t>Мероприятие 1.5.</t>
  </si>
  <si>
    <t>Мероприятие 5.1.</t>
  </si>
  <si>
    <t>Мероприятие 5.2.</t>
  </si>
  <si>
    <t>Мероприятие 5.3.</t>
  </si>
  <si>
    <t>Мероприятие 1.3.</t>
  </si>
  <si>
    <t>Мероприятие 2.1.</t>
  </si>
  <si>
    <t>Мероприятие 2.2.</t>
  </si>
  <si>
    <t>Мероприятие 2.3.</t>
  </si>
  <si>
    <t>Мероприятие 2.4.</t>
  </si>
  <si>
    <t>Мероприятие 2.5.</t>
  </si>
  <si>
    <t>Мероприятие 2.8.</t>
  </si>
  <si>
    <t>Мероприятие P2.1.</t>
  </si>
  <si>
    <t>Мероприятие P2.2.</t>
  </si>
  <si>
    <t>Мероприятие 1.6.</t>
  </si>
  <si>
    <t>Мероприятие 1.7.</t>
  </si>
  <si>
    <t>Мероприятие 1.8.</t>
  </si>
  <si>
    <t>Мероприятие 1.9.</t>
  </si>
  <si>
    <t>Мероприятие 3.4.</t>
  </si>
  <si>
    <t>Мероприятие 3.5.</t>
  </si>
  <si>
    <t>Мероприятие 3.3.</t>
  </si>
  <si>
    <t>Расходы на обеспечение деятельности (оказание услуг) муниципальных учреждений в области физической культуры и спорта</t>
  </si>
  <si>
    <t>Обеспечение деятельности органов местного самоуправления</t>
  </si>
  <si>
    <t>Проведение мероприятий по комплексной борьбе с борщевиком Сосновского</t>
  </si>
  <si>
    <t>Мероприятие 3.1.1.</t>
  </si>
  <si>
    <t>Мероприятие 3.1.2.</t>
  </si>
  <si>
    <t>Мероприятие 1.3.1.</t>
  </si>
  <si>
    <t>Мероприятие 1.3.2.</t>
  </si>
  <si>
    <t>Мероприятие 4.3.</t>
  </si>
  <si>
    <t>Мероприятие 4.4.</t>
  </si>
  <si>
    <t>Мероприятие 5.4.</t>
  </si>
  <si>
    <t>Мероприятие 1.10.</t>
  </si>
  <si>
    <t>Мероприятие 4.1.</t>
  </si>
  <si>
    <t>Мероприятие 7.3.</t>
  </si>
  <si>
    <t>Мероприятие 7.2.</t>
  </si>
  <si>
    <t>Мероприятие 5.5.</t>
  </si>
  <si>
    <t>Мероприятие 5.6.</t>
  </si>
  <si>
    <t>Мероприятие E4.4.</t>
  </si>
  <si>
    <t>Мероприятие 1.11.</t>
  </si>
  <si>
    <t>Мероприятие 1.12.</t>
  </si>
  <si>
    <t>Мероприятие 1.13.</t>
  </si>
  <si>
    <t>Мероприятие 1.14.</t>
  </si>
  <si>
    <t>Мероприятие 1.15.</t>
  </si>
  <si>
    <t>Мероприятие 1.16.</t>
  </si>
  <si>
    <t>Мероприятие 1.17.</t>
  </si>
  <si>
    <t>Мероприятие 1.21.</t>
  </si>
  <si>
    <t>Создание и ремонт пешеходных коммуникаций</t>
  </si>
  <si>
    <t>Мероприятие F2.1.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</si>
  <si>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</si>
  <si>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</si>
  <si>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Оказание мер социальной поддержки отдельным категориям граждан</t>
  </si>
  <si>
    <t>Капитальный ремонт, текущий ремонт, обустройство и техническое переоснащение, благоустройство территорий объектов спорта</t>
  </si>
  <si>
    <t>Мероприятие 3.1.3.</t>
  </si>
  <si>
    <t>Проведение мероприятий по профилактике терроризма</t>
  </si>
  <si>
    <t>Проведение мероприятий по привлечению граждан, принимающих участие в деятельности народных дружин</t>
  </si>
  <si>
    <t>Материально-техническое обеспечение деятельности народных дружин</t>
  </si>
  <si>
    <t>Осуществление мероприятий по обеспечению безопасности людей на водных объектах, охране их жизни и здоровья (оплата работы спасательного поста, в том числе в межкупальный период)</t>
  </si>
  <si>
    <t>Улучшение жилищных условий отдельных категорий многодетных семей</t>
  </si>
  <si>
    <t>Предоставление многодетным семьям жилищных субсидий на приобретение жилого помещения или строительство индивидуального жилого дома</t>
  </si>
  <si>
    <t>Чистая вода</t>
  </si>
  <si>
    <t>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</t>
  </si>
  <si>
    <t>Организация учета энергоресурсов в жилищном фонде Московской области</t>
  </si>
  <si>
    <t>Оснащение профильных IT-классов муниципального автономного общеобразовательного учреждения «Средняя общеобразовательная школа №10» по адресу: Московская область, город Реутов, Юбилейный проспект, д.62</t>
  </si>
  <si>
    <t>Обеспечение образовательных организаций материально-технической базой для внедрения цифровой образовательной среды</t>
  </si>
  <si>
    <t>Мероприятие 1.19.</t>
  </si>
  <si>
    <t>Мероприятие 1.20.</t>
  </si>
  <si>
    <t>Мероприятие 1.22.</t>
  </si>
  <si>
    <t>Реализация мероприятий по благоустройству территорий общего пользования, связанных с функционированием Московских центральных диаметров</t>
  </si>
  <si>
    <t>Порядковые № разделов и мероприятий, предусмотренных муниципальной программой</t>
  </si>
  <si>
    <t>Выполнено на 13,2%</t>
  </si>
  <si>
    <t>Выполнено на 0,5%</t>
  </si>
  <si>
    <t>Выполнено на 1,5%</t>
  </si>
  <si>
    <t>Выполнено на 21,1%</t>
  </si>
  <si>
    <t>Выполнено на 25%</t>
  </si>
  <si>
    <t>Выполнено на 18,7%</t>
  </si>
  <si>
    <t>Выполнено на 12%</t>
  </si>
  <si>
    <t>Выполнено на 24%</t>
  </si>
  <si>
    <t>Выполнено на 20,8%</t>
  </si>
  <si>
    <t>Выполнено на 20,7%</t>
  </si>
  <si>
    <t>Выполнено на 16,3%</t>
  </si>
  <si>
    <t>Выполнено на 16,5%</t>
  </si>
  <si>
    <t>Выполнено на 17,8%</t>
  </si>
  <si>
    <t>Мероприятие 4.2.</t>
  </si>
  <si>
    <t>Частичная компенсация затрат субъектам малого и среднего предпринимательства, осуществляющим деятельность в сфере социального предпринимательства</t>
  </si>
  <si>
    <t>Установка, замена, поверка общедомовых приборов учета энергетических ресурсов в многоквартирных домах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</si>
  <si>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</si>
  <si>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</t>
  </si>
  <si>
    <t>Реализация мероприятий по обеспечению жильем молодых семей</t>
  </si>
  <si>
    <t>Выполнено на 7,6%</t>
  </si>
  <si>
    <t>Реализация мероприятий по улучшению жилищных условий многодетных семей</t>
  </si>
  <si>
    <t>Выполнено на 4,7%</t>
  </si>
  <si>
    <t>Выполнено на 18,3%</t>
  </si>
  <si>
    <t>Выполнено на 12,8%</t>
  </si>
  <si>
    <t>Выполнено на 16,7%</t>
  </si>
  <si>
    <t>Выполнено на 20,1%</t>
  </si>
  <si>
    <t>Выполнено на 21,4%</t>
  </si>
  <si>
    <t>Выполнено на 3,3%</t>
  </si>
  <si>
    <t>Выполнено на 19%</t>
  </si>
  <si>
    <t>Выполнено на 18,4%</t>
  </si>
  <si>
    <t>Выполнено на 15,6%</t>
  </si>
  <si>
    <t>Обеспечение функций муниципальных организаций дополнительного образования сферы культуры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</si>
  <si>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</si>
  <si>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Выполнено на 13%</t>
  </si>
  <si>
    <t xml:space="preserve">Оказание материальной помощи и компенсаций на приобретение индивидуальных диагностических средств для детей, больных инсулинозависимым сахарным диабетом </t>
  </si>
  <si>
    <t>Основное мероприятие 20.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</si>
  <si>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</si>
  <si>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Выполнено на 11,5%</t>
  </si>
  <si>
    <t>Выполнено на 20,3%</t>
  </si>
  <si>
    <t>Выполнено на 24,1%</t>
  </si>
  <si>
    <t>Выполнено на 0,02%</t>
  </si>
  <si>
    <t>Выполнено на 0,04%</t>
  </si>
  <si>
    <t>Выполнено на 0,08%</t>
  </si>
  <si>
    <t>Замена и модернизация детских игровых площадок</t>
  </si>
  <si>
    <t>Выполнено на 13,4%</t>
  </si>
  <si>
    <t>Выполнено на 20%</t>
  </si>
  <si>
    <t>Выполнено на 15,8%</t>
  </si>
  <si>
    <t>Выполнено на 4,9%</t>
  </si>
  <si>
    <t>Замена неэнергоэффективных светильников наружного освещения</t>
  </si>
  <si>
    <t>Мероприятие 1.18.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</si>
  <si>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</si>
  <si>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Реализация мероприятий в области мелиорации земель сельскохозяйственного назначения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</si>
  <si>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</si>
  <si>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Ликвидация несанкционированных свалок</t>
  </si>
  <si>
    <t>Выполнено на 15,3%</t>
  </si>
  <si>
    <t>Выполнено на 19,1%</t>
  </si>
  <si>
    <t>Выполнено на 16%</t>
  </si>
  <si>
    <t>Выполнено на 15,7%</t>
  </si>
  <si>
    <t>Выполнено на 18,6%</t>
  </si>
  <si>
    <t>Выполнено на 14,4%</t>
  </si>
  <si>
    <t>Выполнено на 18%</t>
  </si>
  <si>
    <t>Выполнено на 9%</t>
  </si>
  <si>
    <t>Обеспечение мер поддержки молодым специалистам</t>
  </si>
  <si>
    <t>Выплата компенсации за аренду жилья врачам и среднему медицинскому персоналу</t>
  </si>
  <si>
    <t>Обеспечение жильем нуждающихся из числа привлеченных медицинских работников</t>
  </si>
  <si>
    <t>Развитие музейного дела</t>
  </si>
  <si>
    <t>Выполнено на 21,2%</t>
  </si>
  <si>
    <t>Модернизация материально-технической базы, проведение капитального ремонта, текущего ремонта, благоустройство территорий муниципальных музеев Московской области</t>
  </si>
  <si>
    <t>Выполнение работ по обеспечению пожарной безопасности в муниципальных музеях</t>
  </si>
  <si>
    <t>Развитие библиотечного дела</t>
  </si>
  <si>
    <t>Модернизация материально-технической базы, проведение капитального ремонта, текущего ремонта, благоустройство территорий муниципальных библиотек Московской области</t>
  </si>
  <si>
    <t>Выполнение работ по обеспечению пожарной безопасности в муниципальных библиотеках</t>
  </si>
  <si>
    <t>Развитие профессионального искусства, гастрольно-концертной и культурно-досуговой деятельности, кинематографии</t>
  </si>
  <si>
    <t>Выполнено на 17,7%</t>
  </si>
  <si>
    <t>Выполнено на 22,8%</t>
  </si>
  <si>
    <t>Выполнено на 8%</t>
  </si>
  <si>
    <t>Модернизация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</t>
  </si>
  <si>
    <t>Выполнение работ по обеспечению пожарной безопасности в культурно-досуговых учреждениях</t>
  </si>
  <si>
    <t>Укрепление материально-технической базы муниципальных учреждений культуры</t>
  </si>
  <si>
    <t>Создание доступной среды</t>
  </si>
  <si>
    <t>Создание доступной среды в муниципальных учреждениях культуры</t>
  </si>
  <si>
    <t>Развитие образования в сфере культуры</t>
  </si>
  <si>
    <t>Выполнено на 29,2%</t>
  </si>
  <si>
    <t>Выполнено на 31,1%</t>
  </si>
  <si>
    <t>Обеспечение пожарной безопасности и создание доступной среды</t>
  </si>
  <si>
    <t>Выполнено на 8,3%</t>
  </si>
  <si>
    <t>Выполнение работ по обеспечению пожарной безопасности в организациях дополнительного образования сферы культуры</t>
  </si>
  <si>
    <t>Мероприятие A1.1.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</si>
  <si>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</si>
  <si>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Мероприятие A1.2.</t>
  </si>
  <si>
    <t>Приобретение музыкальных инструментов для муниципальных организаций дополнительного образования в сфере культуры</t>
  </si>
  <si>
    <t>Развитие архивного дела</t>
  </si>
  <si>
    <t>Выполнено на 22,5%</t>
  </si>
  <si>
    <t>Основное мероприятие 9.</t>
  </si>
  <si>
    <t>Социальная поддержка отдельных категорий граждан и почетных граждан Московской области</t>
  </si>
  <si>
    <t>Мероприятие 9.1.</t>
  </si>
  <si>
    <t>Мероприятие 9.1.1.</t>
  </si>
  <si>
    <t>Мероприятие 9.1.2.</t>
  </si>
  <si>
    <t>Мероприятие 9.1.3.</t>
  </si>
  <si>
    <t>Выполнено на 15%</t>
  </si>
  <si>
    <t>Мероприятие 9.1.4.</t>
  </si>
  <si>
    <t>Основное мероприятие 15.</t>
  </si>
  <si>
    <t>Мероприятие 15.3.</t>
  </si>
  <si>
    <t>Обеспечение проведения мероприятий, направленных на увеличение продолжительности здоровой жизни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</si>
  <si>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</si>
  <si>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Содействие занятости населения , развитие трудовых ресурсов и охраны труда</t>
  </si>
  <si>
    <t>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</t>
  </si>
  <si>
    <t>Развитие негосударственного сектора социального обслуживания</t>
  </si>
  <si>
    <t>Обеспечение доступности для инвалидов и маломобильных групп населения объектов инфраструктуры и услуг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</si>
  <si>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</si>
  <si>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Проведение мероприятий по обеспечению доступности для инвалидов и маломобильных групп населения объектов инфраструктуры (за исключением сфер культуры, образования, спорта)</t>
  </si>
  <si>
    <t>Выполнено на 6,9%</t>
  </si>
  <si>
    <t>Выполнено на 15,9%</t>
  </si>
  <si>
    <t>Предоставление субсидии на иные цели из бюджета муниципального образования муниципальным учреждениям в области физической культуры и спорта</t>
  </si>
  <si>
    <t>Организация и проведение физкультурно-оздоровительных и спортивных мероприятий</t>
  </si>
  <si>
    <t>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</si>
  <si>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>Проведение капитального ремонта муниципальных объектов физической культуры и спорта</t>
  </si>
  <si>
    <t>Выполнение работ по обеспечению пожарной безопасности в муниципальных учреждениях физической культуры и спорта</t>
  </si>
  <si>
    <t>Развитие видов спорта</t>
  </si>
  <si>
    <t>Выполнено на 23,1%</t>
  </si>
  <si>
    <t>Развитие вратарского мастерства по футболу</t>
  </si>
  <si>
    <t>Подготовка спортивных сборных команд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</si>
  <si>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</si>
  <si>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Выполнено на 24,6%</t>
  </si>
  <si>
    <t>Предоставление субсидий на иные цели из бюджета муниципального образования муниципальным учреждениям, оказывающим услуги по спортивной подготовке</t>
  </si>
  <si>
    <t>Выполнено на 20,2%</t>
  </si>
  <si>
    <t>Выполнено на 22,7%</t>
  </si>
  <si>
    <t>Вовлечение в оборот земель сельскохозяйственного назначения и развитие мелиорации</t>
  </si>
  <si>
    <t>Обеспечение эпизоотического и ветеринарно-санитарного благополучия и развитие государственной ветеринарной службы</t>
  </si>
  <si>
    <t>Выполнено на 10,2%</t>
  </si>
  <si>
    <t>Сохранение ветеринарно-санитарного благополучия</t>
  </si>
  <si>
    <t>Выполнено на 8,9%</t>
  </si>
  <si>
    <t>Проведение наблюдений за состоянием и загрязнением окружающей среды</t>
  </si>
  <si>
    <t xml:space="preserve">Мероприятия по обследованию окружающей среды (проведение анализов загрязняющих веществ в водных объектах, донных отложениях и неочищенных сточных водах, находящихся в собственности муниципального образования, проведение анализов загрязняющих веществ в атмосферном воздухе, проведение анализа загрязняющих веществ в почвах и принятию мер по устранению негативных последствий и восстановлению поврежденных участков земли находящихся в собственности муниципального образования). </t>
  </si>
  <si>
    <t xml:space="preserve">Профилактические мероприятия по содержанию мест массового пребывания людей. </t>
  </si>
  <si>
    <t>Проведение выставок, семинаров</t>
  </si>
  <si>
    <t>Ликвидация накопленного вреда окружающей среде</t>
  </si>
  <si>
    <t>Финансовое обеспечение расходов, направленных на осуществление полномочий в области обращения с отходами</t>
  </si>
  <si>
    <t>Выполнено на 3,5%</t>
  </si>
  <si>
    <t>Повышение степени антитеррористической защищенности социально значимых объектов, находящихся в собственности городского округа, и мест с массовым пребыванием людей</t>
  </si>
  <si>
    <t>Выполнено на 6,8%</t>
  </si>
  <si>
    <t>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</si>
  <si>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Осуществление мероприятий по обучению народных дружинников</t>
  </si>
  <si>
    <t>Реализация мероприятий по обеспечению общественного порядка и общественной безопасности, профилактике проявлений экстремизма</t>
  </si>
  <si>
    <t>Организация и проведение "круглых столов"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межнациональной и межконфессиональной толерантности</t>
  </si>
  <si>
    <t>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</si>
  <si>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</si>
  <si>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Оказание услуг по предоставлению видеоизображения для системы "Безопасный регион" с видеокамер, установленных в местах массового скопления людей, на детских игровых, спортивных площадках и социальных объектах</t>
  </si>
  <si>
    <t>Техническое обслуживание и модернизация оборудования системы "Безопасный регион"</t>
  </si>
  <si>
    <t>Обеспечение интеграции в систему "Безопасный регион" видеокамер внешних систем видеонаблюдения</t>
  </si>
  <si>
    <t>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</si>
  <si>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- формирования общественного мнения, направленного на изменение норм, связанных с поведением "риска", и пропаганду ценностей здорового образа жизни; - информирование о рисках, связанных с наркотиками; - стимулирование подростков и молодежи и их родителей к обращению за психологической и иной профессиональной помощью</t>
  </si>
  <si>
    <t>Организация и проведение на территории городского округа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</si>
  <si>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Развитие похоронного дела</t>
  </si>
  <si>
    <t>Выполнено на 10,7%</t>
  </si>
  <si>
    <t>Реализация мероприятий по транспортировке умерших в морг, включая погрузо-разгрузочные работы, с мест обнаружения или происшествия для проведения судебно-медицинской экспертизы</t>
  </si>
  <si>
    <t>Возмещение специализированной службе по вопросам похоронного дела стоимости услуг по погребению умерших, в части, превышающей размер возмещения, установленный законодательством РФ и МО</t>
  </si>
  <si>
    <t>Мероприятие 7.6.</t>
  </si>
  <si>
    <t>Зимние и летние работы по содержанию мест захоронений, текущий и капитальный ремонт основных фондов</t>
  </si>
  <si>
    <t>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</si>
  <si>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Эксплуатация Системы-112 на территории муниципального образования</t>
  </si>
  <si>
    <t>Выполнено на 10%</t>
  </si>
  <si>
    <t>Содержание и эксплуатация Системы-112</t>
  </si>
  <si>
    <t>Выполнено на 1,4%</t>
  </si>
  <si>
    <t>Организация деятельности единых дежурно-диспетчерских служб</t>
  </si>
  <si>
    <t>Создание резервов материальных ресурсов для ликвидации чрезвычайных ситуаций муниципального характера на территории Московской области</t>
  </si>
  <si>
    <t>Формирование, хранение, использование и восполнение резервного фонда для ликвидации чрезвычайных ситуаций муниципального характера</t>
  </si>
  <si>
    <t>Реализация мероприятий по подготовке населения и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</t>
  </si>
  <si>
    <t>Подготовка должностных лиц по вопросам гражданской обороны и предупреждения и ликвидации чрезвычайных ситуаций</t>
  </si>
  <si>
    <t>Создание и обеспечение функционирования учебно-консультационных пунктов на территории муниципального образования Московской области</t>
  </si>
  <si>
    <t>Пропаганда знаний в области гражданской обороны и защиты населения и территории от чрезвычайных ситуаций</t>
  </si>
  <si>
    <t>Проведение и участие в учениях, соревнованиях, тренировках, смотрах-конкурсах, семинарах (в том числе учащихся общеобразовательных учреждений)</t>
  </si>
  <si>
    <t>Создание, содержание системно-аппаратного комплекса "Безопасный город" на территории муниципального образования Московской области</t>
  </si>
  <si>
    <t>Выполнено на 5,3%</t>
  </si>
  <si>
    <t>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</t>
  </si>
  <si>
    <t>Выполнено на 7,9%</t>
  </si>
  <si>
    <t>Поддержание в постоянной готовности муниципальной автоматизированной системы централизованного оповещения (далее - МАСЦО)</t>
  </si>
  <si>
    <t>Выполнено на 11,2%</t>
  </si>
  <si>
    <t>Развитие и модернизация МАСЦО</t>
  </si>
  <si>
    <t>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</si>
  <si>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Формирование, хранение, использование и восполнение запасов материально-технических, продовольственных и иных средств в целях гражданской обороны</t>
  </si>
  <si>
    <t>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</t>
  </si>
  <si>
    <t>Обеспечение готовности объектов гражданской обороны</t>
  </si>
  <si>
    <t>Проведение учений и тренировок по гражданской обороне</t>
  </si>
  <si>
    <t>Пропаганда знаний в области гражданской обороны</t>
  </si>
  <si>
    <t>Подготовка безопасных районов для размещения населения, материальных и культурных ценностей, подлежащих эвакуации</t>
  </si>
  <si>
    <t>Повышение степени пожарной безопасности на территории муниципального образования Московской области</t>
  </si>
  <si>
    <t>Первичные меры пожарной безопасности на территории муниципального образования</t>
  </si>
  <si>
    <t>Создание, содержание пожарных водоемов и создание условий для забора воды из них в любое время года (обустройство подъездов с площадками с твердым покрытием для установки пожарных автомобилей)</t>
  </si>
  <si>
    <t>Оснащение и содержание пожарных извещателей в жилых помещениях, занимаемых малообеспеченными гражданами, малообеспеченными или многодетными семьями Московской области</t>
  </si>
  <si>
    <t>Содержание в исправном состоянии средств обеспечения пожарной безопасности жилых и общественных зданий, находящихся в муниципальной собственности</t>
  </si>
  <si>
    <t>Выполнено на 15,2%</t>
  </si>
  <si>
    <t>Организация обучения населения мерам пожарной безопасности</t>
  </si>
  <si>
    <t>Пропаганда в области пожарной безопасности, содействие распространению пожарно-технических знаний</t>
  </si>
  <si>
    <t>Дополнительные мероприятия в условиях особого противопожарного режима</t>
  </si>
  <si>
    <t>Поддержание общественных объединений добровольной пожарной охраны</t>
  </si>
  <si>
    <t>Финансовое обеспечение мероприятий по созданию и эксплуатации объектов противопожарной службы</t>
  </si>
  <si>
    <t>Проведение работ по возведению пожарного депо из быстровозводимой модульной конструкции полной заводской готовности, по подведению внешних инженерных сетей и по благоустройству, прилегающей к пожарному депо территории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</si>
  <si>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</si>
  <si>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>Выполнение мероприятий по безопасности населения на водных объектах, расположенных на территории Московской области</t>
  </si>
  <si>
    <t>Создание безопасных мест отдыха для населения на водных объектах</t>
  </si>
  <si>
    <t>Обучение населения, прежде всего детей, плаванию и приемам спасания на воде</t>
  </si>
  <si>
    <t>Выполнено на 21%</t>
  </si>
  <si>
    <t>Обеспечение деятельности муниципального казенного учреждения "Единая дежурная диспетчерская служба муниципального образования Московской области"</t>
  </si>
  <si>
    <t>Выполнено на 7,4%</t>
  </si>
  <si>
    <t>Создание условий для  жилищного строительства</t>
  </si>
  <si>
    <t>Создание условий для развития жилищного строительства</t>
  </si>
  <si>
    <t>Создание системы недопущения возникновения проблемных объектов в сфере жилищного строительства</t>
  </si>
  <si>
    <t>Выполнено на 46,2%</t>
  </si>
  <si>
    <t>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</si>
  <si>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</si>
  <si>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Обеспечение жильем отдельных категорий граждан за счет средств федерального бюджета</t>
  </si>
  <si>
    <t>Оказание государственной поддержки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</t>
  </si>
  <si>
    <t>Выполнено на 80,7%</t>
  </si>
  <si>
    <t>Выполнено на 49,4%</t>
  </si>
  <si>
    <t>Объекты теплоснабжения, инженерные коммуникации</t>
  </si>
  <si>
    <t>Строительство, реконструкция, капитальный ремонт объектов теплоснабжения на территории муниципальных образований Московской области</t>
  </si>
  <si>
    <t>Строительство и реконструкция объектов теплоснабжения муниципальной собственности</t>
  </si>
  <si>
    <t>Реализация полномочий в сфере жилищно-коммунального хозяйства</t>
  </si>
  <si>
    <t>Выполнено на 10,8%</t>
  </si>
  <si>
    <t>Финансовое обеспечение расходов, направленных на осуществление полномочий в сфере жилищно-коммунального хозяйства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</si>
  <si>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</si>
  <si>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Выполнено на 0,1%</t>
  </si>
  <si>
    <t>Создание и (или) развитие индустриальных (промышленных) парков, промышленных технопарков, инновационно-технологических центров, промышленных площадок, особых экономических зон</t>
  </si>
  <si>
    <t>Текущий ремонт помещения детского технопарка «Изобретариум» муниципального бюджетного учреждения дополнительного образования «Дом детского творчества» в целях создания стартап-студии для развития студенческого технопредпринимательства по адресу: Московская область, город Реутов, Юбилейный проспект, д. 36</t>
  </si>
  <si>
    <t>Оснащение детского технопарка «Изобретариум» муниципального бюджетного учреждения дополнительного образования «Дом детского творчества» в целях создания стартап-студии для развития студенческого технопредпринимательства по адресу: Московская область, город Реутов, Юбилейный проспект, д. 36</t>
  </si>
  <si>
    <t>Текущий ремонт здания муниципального бюджетного общеобразовательного учреждения «Средняя общеобразовательная школа №7» по адресу: Московская область, город Реутов, ул. Советская, д. 27</t>
  </si>
  <si>
    <t>Мероприятие 3.1.4.</t>
  </si>
  <si>
    <t>Оснащение профильных технологических классов муниципального бюджетного общеобразовательного учреждения «Средняя общеобразовательная школа №7» по адресу: Московская область, город Реутов, ул. Советская, д. 27</t>
  </si>
  <si>
    <t>Мероприятие 3.1.5.</t>
  </si>
  <si>
    <t>Текущий ремонт здания муниципального бюджетного общеобразовательного учреждения «Средняя общеобразовательная школа №3 с углубленным изучением отдельных предметов" по адресу: Московская область, город Реутов, ул. Советская, д.6А</t>
  </si>
  <si>
    <t>Мероприятие 3.1.6.</t>
  </si>
  <si>
    <t>Оснащение профильных информационно- технологических классов муниципального бюджетного общеобразовательного учреждения "Средняя общеобразовательная школа №3 с углубленным изучением отдельных предметов" по адресу: Московская область, город Реутов, ул. Советская, д.6А</t>
  </si>
  <si>
    <t>Мероприятие 3.1.7.</t>
  </si>
  <si>
    <t>Текущий ремонт здания муниципального бюджетного общеобразовательного учреждения "Средняя общеобразовательная школа №2 с углубленным изучением отдельных предметов" по адресу: Московская область, город Реутов, ул. Победы, д.32</t>
  </si>
  <si>
    <t>Мероприятие 3.1.8.</t>
  </si>
  <si>
    <t>Оснащение профильных естественно-научных классов муниципального бюджетного общеобразовательного учреждения "Средняя общеобразовательная школа №2 с углубленным изучением отдельных предметов" по адресу: Московская область, город Реутов, ул. Победы, д.32</t>
  </si>
  <si>
    <t>Мероприятие 3.1.9.</t>
  </si>
  <si>
    <t>Мероприятие 3.1.10.</t>
  </si>
  <si>
    <t>Оснащение профильных технологических классов муниципального бюджетного общеобразовательного учреждения «Средняя общеобразовательная школа №1» по адресу: Московская область, город Реутов, ул. Лесная, д. 12</t>
  </si>
  <si>
    <t>Организация работ по поддержке и развитию промышленного потенциала на территории городских округов Московской области</t>
  </si>
  <si>
    <t xml:space="preserve">Стимулирование инвестиционной деятельности </t>
  </si>
  <si>
    <t>Основное мероприятие 50.</t>
  </si>
  <si>
    <t>Оценка уровня эффективности, результативности, обеспечение гласности и прозрачности контрактной системы в сфере закупок</t>
  </si>
  <si>
    <t>Основное мероприятие 52.</t>
  </si>
  <si>
    <t>Развитие конкуренции в муниципальном образовании Московской области</t>
  </si>
  <si>
    <t>Частичная компенсация субъектам малого и среднего предпринимательства затрат, связанных с приобретением оборудования</t>
  </si>
  <si>
    <t>Предоставление в аренду имущества, находящегося в муниципальной собственности, отнесенного к имуществу казны, субъектам малого и среднего предпринимательства, физическим лицам, не являющимся индивидуальными предпринимателями и применяющим специальный налоговый режим «налог на профессиональный доход</t>
  </si>
  <si>
    <t>Развитие потребительского рынка на территории муниципального образования Московской области</t>
  </si>
  <si>
    <t>Основное мероприятие 51.</t>
  </si>
  <si>
    <t>Основное мероприятие 53.</t>
  </si>
  <si>
    <t>Эффективное управление имущественным комплексом</t>
  </si>
  <si>
    <t>Управление имуществом, находящимся в муниципальной собственности и выполнение кадастровых работ</t>
  </si>
  <si>
    <t>Выполнено на 25,7%</t>
  </si>
  <si>
    <t>Выполнено на 27,9%</t>
  </si>
  <si>
    <t>Организация в соответствии с Федеральным законом от 24 июля 2007 № 221-ФЗ "О кадастровой деятельности" выполнения комплексных кадастровых работ и утверждение карты-плана территории</t>
  </si>
  <si>
    <t>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</t>
  </si>
  <si>
    <t>Выполнено на 23,6%</t>
  </si>
  <si>
    <t>Реализация мероприятий в рамках управления муниципальным долгом</t>
  </si>
  <si>
    <t>Разработка проекта бюджета и исполнение бюджета городского округа</t>
  </si>
  <si>
    <t>Снижение уровня задолженности по налоговым платежам</t>
  </si>
  <si>
    <t>Функционирование высшего должностного лица</t>
  </si>
  <si>
    <t>Выполнено на 35,1%</t>
  </si>
  <si>
    <t>Выполнено на 22,9%</t>
  </si>
  <si>
    <t>Обеспечение деятельности муниципальных центров управления регионом</t>
  </si>
  <si>
    <t>Обеспечение деятельности муниципальных казенных учреждений в сфере закупок товаров, работ, услуг</t>
  </si>
  <si>
    <t>Мероприятия, реализуемые в целях создания условий для реализации полномочий органов местного самоуправления</t>
  </si>
  <si>
    <t>Выполнено на 42,1%</t>
  </si>
  <si>
    <t>Обеспечение безопасности населения на объектах транспортной инфраструктуры</t>
  </si>
  <si>
    <t>Обеспечение транспортной безопасности населения Московской области</t>
  </si>
  <si>
    <t>Финансирование работ по обеспечению транспортной безопасности населения Московской области за счет средств местного бюджет</t>
  </si>
  <si>
    <t>Выполнено на 80%</t>
  </si>
  <si>
    <t>Капитальный ремонт и ремонт автомобильных дорог общего пользования местного значения</t>
  </si>
  <si>
    <t>Выполнено на 9,2%</t>
  </si>
  <si>
    <t>Мероприятие 4.7.</t>
  </si>
  <si>
    <t>Мероприятие 4.8.</t>
  </si>
  <si>
    <t>Мероприятие 4.8.1.</t>
  </si>
  <si>
    <t>Закупка товаров, работ и услуг для обеспечения государственных (муниципальных) нужд</t>
  </si>
  <si>
    <t>Выполнено на 0,7%</t>
  </si>
  <si>
    <t>Мероприятие 4.8.2.</t>
  </si>
  <si>
    <t>Предоставление субсидий бюджетным, автономным учреждениям и иным некоммерческим организациям</t>
  </si>
  <si>
    <t>Выполнено на 29,9%</t>
  </si>
  <si>
    <t>Мероприятие 4.8.3.</t>
  </si>
  <si>
    <t>Дорожная деятельность в отношении автомобильных дорог местного значения в границах городского округа (укрепление материально-технической базы подведомственных учреждений посредством финансовой аренды (лизинг))</t>
  </si>
  <si>
    <t>Мероприятие 4.9.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</si>
  <si>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</si>
  <si>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</si>
  <si>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Выполнено на 26,3%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</si>
  <si>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</si>
  <si>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</si>
  <si>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Выполнено на 4,4%</t>
  </si>
  <si>
    <t>Выполнено на 7,1%</t>
  </si>
  <si>
    <t>Подключение ОМСУ муниципального образования Московской области к единой интегрированной мультисервисной телекоммуникационной сети Правительства Московской области для нужд ОМСУ муниципального образования Московской области и обеспечения совместной работы в ней</t>
  </si>
  <si>
    <t>Выполнено на 4,2%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</si>
  <si>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«Интернет» за счет средств местного бюджета</t>
  </si>
  <si>
    <t>Выполнено на 22,2%</t>
  </si>
  <si>
    <t>Мероприятие E4.5.</t>
  </si>
  <si>
    <t>Обновление и техническое обслуживание (ремонт) средств (программного обеспечения и оборудования), приобретённых в рамках субсидий на внедрение целевой модели цифровой образовательной среды в общеобразовательных организациях,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</si>
  <si>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</si>
  <si>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Проведение капитального (текущего) ремонта и технического переоснащения помещений, выделенных муниципальным архивам</t>
  </si>
  <si>
    <t>Выполнено на 13,6%</t>
  </si>
  <si>
    <t>Разработка и внесение изменений в документы территориального планирования и градостроительного зонирования муниципального образования</t>
  </si>
  <si>
    <t>Разработка и внесение изменений в нормативы градостроительного проектирования городского округа</t>
  </si>
  <si>
    <t>Обеспечение рассмотрения и утверждения представительными органами местного самоуправления муниципального образования Московской области проекта нормативов градостроительного проектирования (внесение изменений в нормативы градостроительного проектирования) городского округа</t>
  </si>
  <si>
    <t>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 муниципальных образований</t>
  </si>
  <si>
    <t>Осуществление отдельных государственных полномочий в части присвоения адресов объектам адресации и согласования переустройства (или перепланировки) помещений в многоквартирном доме</t>
  </si>
  <si>
    <t>Обеспечение мер по ликвидации самовольных, недостроенных и аварийных объектов на территории муниципального образования Московской области</t>
  </si>
  <si>
    <t>Выполнено на 13,1%</t>
  </si>
  <si>
    <t>Обустройство и установка детских, игровых площадок на территории муниципальных образований</t>
  </si>
  <si>
    <t>Устройство систем наружного освещения в рамках реализации проекта "Светлый город"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</si>
  <si>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</si>
  <si>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</si>
  <si>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Устройство систем наружного освещения в рамках реализации проекта «Светлый город» за счет средств местного бюджета</t>
  </si>
  <si>
    <t>Выполнено на 29,5%</t>
  </si>
  <si>
    <t>Выполнено на 30%</t>
  </si>
  <si>
    <t>Мероприятие F2.2.</t>
  </si>
  <si>
    <t>Выполнено на 88,7%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</si>
  <si>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</si>
  <si>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Обеспечение комфортной среды проживания на территории муниципального образования Московской области</t>
  </si>
  <si>
    <t>Приобретение коммунальной техники</t>
  </si>
  <si>
    <t>Содержание дворовых территорий</t>
  </si>
  <si>
    <t>Выполнено на 5%</t>
  </si>
  <si>
    <t>Содержание в чистоте территории городского округа (общественные пространства)</t>
  </si>
  <si>
    <t>Комплексное благоустройство дворовых территорий (установка новых и замена существующих элементов)</t>
  </si>
  <si>
    <t>Содержание парков культуры и отдыха</t>
  </si>
  <si>
    <t>Выполнено на 21,9%</t>
  </si>
  <si>
    <t>Выполнено на 12,3%</t>
  </si>
  <si>
    <t>Выполнено на 16,1%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</si>
  <si>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</si>
  <si>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</si>
  <si>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Выполнено на 24,5%</t>
  </si>
  <si>
    <t>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</si>
  <si>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Выполнено на 20,5%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</si>
  <si>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</si>
  <si>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Выполнено на 0,03%</t>
  </si>
  <si>
    <t>Выполнено на 14,8%</t>
  </si>
  <si>
    <t>Выполнено на 18,8%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</si>
  <si>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</si>
  <si>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Мероприятие 2.10.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</si>
  <si>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</si>
  <si>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Мероприятие 2.14.</t>
  </si>
  <si>
    <t>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</si>
  <si>
    <t>Выполнение работ по обеспечению пожарной безопасности в муниципальных образовательных организациях</t>
  </si>
  <si>
    <t>Обеспечение условий доступности для инвалидов объектов и предоставляемых услуг в сфере образования</t>
  </si>
  <si>
    <t>Основное мероприятие EВ.</t>
  </si>
  <si>
    <t>Патриотическое воспитание граждан Российской Федерации</t>
  </si>
  <si>
    <t>Выполнено на 24,2%</t>
  </si>
  <si>
    <t>Мероприятие EВ.1.</t>
  </si>
  <si>
    <t>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</si>
  <si>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</si>
  <si>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Финансовое обеспечение деятельности организаций дополнительного образования</t>
  </si>
  <si>
    <t>Выполнено на 16,2%</t>
  </si>
  <si>
    <t>Мероприятия в сфере дополнительного образования</t>
  </si>
  <si>
    <t>Выполнение работ по обеспечению пожарной безопасности в муниципальных организациях дополнительного образования</t>
  </si>
  <si>
    <t>Оснащение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</si>
  <si>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Обеспечение деятельности прочих учреждений образования (межшкольные учебные комбинаты, хозяйственные эксплуатационные конторы, методические кабинеты и др.)</t>
  </si>
  <si>
    <t>Выполнено на 16,4%</t>
  </si>
  <si>
    <t>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</si>
  <si>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Выполнено на 11,6%</t>
  </si>
  <si>
    <t>Информирование населения об основных событиях социально-экономического развития и общественно-политической жизни</t>
  </si>
  <si>
    <t>Выполнено на 12,5%</t>
  </si>
  <si>
    <t>Информирование населения муниципального образования о деятельности органов местного самоуправления муниципального образования Московской области посредством социальных сетей, мессенджеров, e-mail-рассылок, SMS-информирования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</si>
  <si>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в электронных СМИ, распространяемых в сети Интернет (сетевых изданиях). Создание и ведение информационных ресурсов и баз данных муниципального образования</t>
  </si>
  <si>
    <t>Выполнено на 1,3%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</si>
  <si>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телепередач</t>
  </si>
  <si>
    <t>Выполнено на 13,3%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</si>
  <si>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радиопрограммы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</si>
  <si>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в печатных СМИ</t>
  </si>
  <si>
    <t>Выполнено на 9,5%</t>
  </si>
  <si>
    <t>Организация мониторинга СМИ, блогосферы, проведение медиа-исследований аудитории СМИ на территории муниципального образования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</si>
  <si>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</si>
  <si>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Выполнено на 11,1%</t>
  </si>
  <si>
    <t>Организация создания и эксплуатации сети объектов наружной рекламы</t>
  </si>
  <si>
    <t>Мероприятие 7.1.</t>
  </si>
  <si>
    <t>Приведение в соответствие количества и фактического расположения рекламных конструкций на территории муниципального образования согласованной Правительством Московской области схеме размещения рекламных конструкций</t>
  </si>
  <si>
    <t>Проведение мероприятий, к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 363/16 "Об утверждении Методических рекомендаций по размещению и эксплуатации элементов праздничного, тематического и праздничного светового оформления на территории Московской области"</t>
  </si>
  <si>
    <t>Выполнено на 0,4%</t>
  </si>
  <si>
    <t>Информирование населения об основных событиях социально-экономического развития и общественно-политической жизни посредством размещения социальной рекламы на объектах наружной рекламы и информации</t>
  </si>
  <si>
    <t>Молодежь Подмосковья</t>
  </si>
  <si>
    <t>Вовлечение молодежи в общественную жизнь</t>
  </si>
  <si>
    <t>Организация и проведение мероприятий по гражданско-патриотическому и духовно-нравственному воспитанию молодежи</t>
  </si>
  <si>
    <t>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</t>
  </si>
  <si>
    <t>Проведение мероприятий по обеспечению занятости несовершеннолетних</t>
  </si>
  <si>
    <t>Развитие добровольчества (волонтерства) в городском округе Московской области</t>
  </si>
  <si>
    <t>Организация и проведение мероприятий, направленных на популяризацию добровольчества (волонтерства)</t>
  </si>
  <si>
    <t>Выполнено на 15,1%</t>
  </si>
  <si>
    <t>Осуществление первичного воинского учета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</si>
  <si>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</si>
  <si>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Корректировка списков кандидатов в присяжные заседатели федеральных судов общей юрисдикции в Российской Федерации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</si>
  <si>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</si>
  <si>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Выполнено на 11,3%</t>
  </si>
  <si>
    <t>Строительство (реконструкция) объектов образования</t>
  </si>
  <si>
    <t>Организация строительства (реконструкции) объектов дошкольного образования</t>
  </si>
  <si>
    <t>Выполнено на 90%</t>
  </si>
  <si>
    <t>Мероприятие 1.1 </t>
  </si>
  <si>
    <t>Проектирование и строительство дошкольных образовательных организаций</t>
  </si>
  <si>
    <t>Основное мероприятие E1.</t>
  </si>
  <si>
    <t>Современная школа</t>
  </si>
  <si>
    <t>Мероприятие E1.4.</t>
  </si>
  <si>
    <t>Создание в субъектах Российской Федерации дополнительных (новых) мест в общеобразовательных организациях в связи с ростом числа учащихся, вызванным демографическим фактором</t>
  </si>
  <si>
    <t>Строительство (реконструкция) объектов физической культуры и спорта</t>
  </si>
  <si>
    <t>Организация строительства (реконструкции) объектов физической культуры и спорта за счет внебюджетных источников</t>
  </si>
  <si>
    <t>Мероприятие 51.52.</t>
  </si>
  <si>
    <t>Основное мероприятие P5.</t>
  </si>
  <si>
    <t>Спорт – норма жизни</t>
  </si>
  <si>
    <t>Мероприятие P5.1.</t>
  </si>
  <si>
    <t>Капитальные вложения в муниципальные объекты физической культуры и спорта</t>
  </si>
  <si>
    <t>Выполнено на 4,6%</t>
  </si>
  <si>
    <r>
      <t xml:space="preserve">ОПЕРАТИВНЫЙ ОТЧЕТ О ВЫПОЛНЕНИИ МУНИЦИПАЛЬНЫХ ПРОГРАММ ГОРОДСКОГО ОКРУГА РЕУТОВ ЗА </t>
    </r>
    <r>
      <rPr>
        <b/>
        <sz val="11"/>
        <color theme="1"/>
        <rFont val="Times New Roman"/>
        <family val="1"/>
        <charset val="204"/>
      </rPr>
      <t>1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 xml:space="preserve">КВАРТАЛ </t>
    </r>
    <r>
      <rPr>
        <b/>
        <sz val="11"/>
        <color theme="1"/>
        <rFont val="Times New Roman"/>
        <family val="1"/>
        <charset val="204"/>
      </rPr>
      <t>2023</t>
    </r>
    <r>
      <rPr>
        <b/>
        <sz val="9"/>
        <color theme="1"/>
        <rFont val="Times New Roman"/>
        <family val="1"/>
        <charset val="204"/>
      </rPr>
      <t xml:space="preserve"> ГОДА</t>
    </r>
  </si>
  <si>
    <t>Выполнено 
(тыс. руб.)</t>
  </si>
  <si>
    <t>Объем финансирования на 2020 год 
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</si>
</sst>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4" fillId="0" borderId="0">
      <protection locked="0"/>
    </xf>
  </cellStyleXfs>
  <cellXfs count="77">
    <xf numFmtId="0" fontId="0" fillId="0" borderId="0" xfId="0"/>
    <xf numFmtId="0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NumberFormat="1" applyFont="1" applyFill="1" applyBorder="1" applyAlignment="1" applyProtection="1">
      <alignment horizontal="left" vertical="center" wrapText="1"/>
      <protection locked="0"/>
    </xf>
    <xf numFmtId="4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NumberFormat="1" applyFont="1" applyFill="1" applyBorder="1" applyAlignment="1" applyProtection="1">
      <alignment horizontal="left" vertical="center" wrapText="1"/>
      <protection locked="0"/>
    </xf>
    <xf numFmtId="4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4" fontId="0" fillId="2" borderId="0" xfId="0" applyNumberFormat="1" applyFill="1"/>
    <xf numFmtId="4" fontId="9" fillId="2" borderId="0" xfId="0" applyNumberFormat="1" applyFont="1" applyFill="1"/>
    <xf numFmtId="4" fontId="10" fillId="2" borderId="0" xfId="0" applyNumberFormat="1" applyFont="1" applyFill="1"/>
    <xf numFmtId="0" fontId="11" fillId="2" borderId="7" xfId="0" applyFont="1" applyFill="1" applyBorder="1" applyAlignment="1">
      <alignment horizontal="center" vertical="center" wrapText="1"/>
    </xf>
    <xf numFmtId="0" fontId="13" fillId="2" borderId="0" xfId="0" applyFont="1" applyFill="1"/>
    <xf numFmtId="4" fontId="7" fillId="2" borderId="32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36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5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3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5" xfId="0" applyNumberFormat="1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/>
    </xf>
    <xf numFmtId="0" fontId="8" fillId="2" borderId="21" xfId="0" applyFont="1" applyFill="1" applyBorder="1" applyAlignment="1">
      <alignment horizontal="center" vertical="top" wrapText="1"/>
    </xf>
    <xf numFmtId="0" fontId="8" fillId="2" borderId="22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 applyProtection="1">
      <alignment horizontal="center" vertical="top"/>
      <protection locked="0"/>
    </xf>
    <xf numFmtId="0" fontId="6" fillId="2" borderId="6" xfId="0" applyNumberFormat="1" applyFont="1" applyFill="1" applyBorder="1" applyAlignment="1" applyProtection="1">
      <alignment horizontal="center" vertical="top"/>
      <protection locked="0"/>
    </xf>
    <xf numFmtId="0" fontId="6" fillId="2" borderId="2" xfId="0" applyNumberFormat="1" applyFont="1" applyFill="1" applyBorder="1" applyAlignment="1" applyProtection="1">
      <alignment horizontal="center" vertical="top"/>
      <protection locked="0"/>
    </xf>
    <xf numFmtId="0" fontId="6" fillId="2" borderId="7" xfId="0" applyNumberFormat="1" applyFont="1" applyFill="1" applyBorder="1" applyAlignment="1" applyProtection="1">
      <alignment horizontal="center" vertical="top"/>
      <protection locked="0"/>
    </xf>
    <xf numFmtId="0" fontId="6" fillId="2" borderId="9" xfId="0" applyNumberFormat="1" applyFont="1" applyFill="1" applyBorder="1" applyAlignment="1" applyProtection="1">
      <alignment horizontal="right" vertical="center"/>
      <protection locked="0"/>
    </xf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0" fontId="6" fillId="2" borderId="11" xfId="0" applyNumberFormat="1" applyFont="1" applyFill="1" applyBorder="1" applyAlignment="1" applyProtection="1">
      <alignment horizontal="right" vertical="center"/>
      <protection locked="0"/>
    </xf>
    <xf numFmtId="0" fontId="8" fillId="2" borderId="15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DDBF8"/>
      <color rgb="FFFEE8FB"/>
      <color rgb="FF99FF33"/>
      <color rgb="FFFDE0C3"/>
      <color rgb="FFC5E5CD"/>
      <color rgb="FFD6FEEE"/>
      <color rgb="FFF0F5FE"/>
      <color rgb="FFC5E9E5"/>
      <color rgb="FFCFF5FD"/>
      <color rgb="FFC9E5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9"/>
  <sheetViews>
    <sheetView tabSelected="1" zoomScale="80" zoomScaleNormal="80" workbookViewId="0">
      <selection activeCell="L10" sqref="L10"/>
    </sheetView>
  </sheetViews>
  <sheetFormatPr defaultColWidth="8.85546875" defaultRowHeight="22.5" customHeight="1" x14ac:dyDescent="0.25"/>
  <cols>
    <col min="1" max="1" width="3.7109375" style="16" customWidth="1"/>
    <col min="2" max="2" width="22.28515625" style="16" customWidth="1"/>
    <col min="3" max="3" width="21.85546875" style="10" customWidth="1"/>
    <col min="4" max="4" width="62.7109375" style="10" customWidth="1"/>
    <col min="5" max="6" width="18.42578125" style="12" customWidth="1"/>
    <col min="7" max="7" width="35.5703125" style="10" customWidth="1"/>
    <col min="8" max="8" width="18.42578125" style="12" customWidth="1"/>
    <col min="9" max="16384" width="8.85546875" style="10"/>
  </cols>
  <sheetData>
    <row r="1" spans="1:8" ht="8.25" customHeight="1" x14ac:dyDescent="0.25">
      <c r="A1" s="51" t="s">
        <v>671</v>
      </c>
      <c r="B1" s="52"/>
      <c r="C1" s="52"/>
      <c r="D1" s="52"/>
      <c r="E1" s="52"/>
      <c r="F1" s="52"/>
      <c r="G1" s="52"/>
      <c r="H1" s="53"/>
    </row>
    <row r="2" spans="1:8" ht="9.75" customHeight="1" x14ac:dyDescent="0.25">
      <c r="A2" s="54"/>
      <c r="B2" s="55"/>
      <c r="C2" s="55"/>
      <c r="D2" s="55"/>
      <c r="E2" s="55"/>
      <c r="F2" s="55"/>
      <c r="G2" s="55"/>
      <c r="H2" s="56"/>
    </row>
    <row r="3" spans="1:8" ht="74.25" customHeight="1" x14ac:dyDescent="0.25">
      <c r="A3" s="15" t="s">
        <v>0</v>
      </c>
      <c r="B3" s="15" t="s">
        <v>1</v>
      </c>
      <c r="C3" s="9" t="s">
        <v>262</v>
      </c>
      <c r="D3" s="9" t="s">
        <v>2</v>
      </c>
      <c r="E3" s="8" t="s">
        <v>673</v>
      </c>
      <c r="F3" s="8" t="s">
        <v>672</v>
      </c>
      <c r="G3" s="19" t="s">
        <v>3</v>
      </c>
      <c r="H3" s="8" t="s">
        <v>4</v>
      </c>
    </row>
    <row r="4" spans="1:8" ht="13.5" customHeight="1" thickBot="1" x14ac:dyDescent="0.3">
      <c r="A4" s="23">
        <v>1</v>
      </c>
      <c r="B4" s="24">
        <v>2</v>
      </c>
      <c r="C4" s="1">
        <v>3</v>
      </c>
      <c r="D4" s="2">
        <v>4</v>
      </c>
      <c r="E4" s="1">
        <v>5</v>
      </c>
      <c r="F4" s="1">
        <v>6</v>
      </c>
      <c r="G4" s="2">
        <v>7</v>
      </c>
      <c r="H4" s="1">
        <v>8</v>
      </c>
    </row>
    <row r="5" spans="1:8" ht="22.5" customHeight="1" x14ac:dyDescent="0.25">
      <c r="A5" s="65">
        <v>1</v>
      </c>
      <c r="B5" s="67" t="s">
        <v>5</v>
      </c>
      <c r="C5" s="3" t="s">
        <v>6</v>
      </c>
      <c r="D5" s="3" t="s">
        <v>7</v>
      </c>
      <c r="E5" s="4">
        <f>E6</f>
        <v>0</v>
      </c>
      <c r="F5" s="4">
        <f>F6</f>
        <v>0</v>
      </c>
      <c r="G5" s="17" t="s">
        <v>8</v>
      </c>
      <c r="H5" s="22">
        <f>H6</f>
        <v>0</v>
      </c>
    </row>
    <row r="6" spans="1:8" ht="22.5" customHeight="1" x14ac:dyDescent="0.25">
      <c r="A6" s="66"/>
      <c r="B6" s="68"/>
      <c r="C6" s="5" t="s">
        <v>31</v>
      </c>
      <c r="D6" s="5" t="s">
        <v>10</v>
      </c>
      <c r="E6" s="6">
        <f>0</f>
        <v>0</v>
      </c>
      <c r="F6" s="6">
        <f>0</f>
        <v>0</v>
      </c>
      <c r="G6" s="18" t="s">
        <v>8</v>
      </c>
      <c r="H6" s="21">
        <f>0</f>
        <v>0</v>
      </c>
    </row>
    <row r="7" spans="1:8" ht="22.5" customHeight="1" x14ac:dyDescent="0.25">
      <c r="A7" s="66"/>
      <c r="B7" s="68"/>
      <c r="C7" s="3" t="s">
        <v>11</v>
      </c>
      <c r="D7" s="3" t="s">
        <v>12</v>
      </c>
      <c r="E7" s="4">
        <f>E8</f>
        <v>1000</v>
      </c>
      <c r="F7" s="4">
        <f>F8</f>
        <v>90</v>
      </c>
      <c r="G7" s="17" t="s">
        <v>324</v>
      </c>
      <c r="H7" s="20">
        <f>H8</f>
        <v>90</v>
      </c>
    </row>
    <row r="8" spans="1:8" ht="22.5" customHeight="1" x14ac:dyDescent="0.25">
      <c r="A8" s="66"/>
      <c r="B8" s="68"/>
      <c r="C8" s="5" t="s">
        <v>31</v>
      </c>
      <c r="D8" s="5" t="s">
        <v>13</v>
      </c>
      <c r="E8" s="6">
        <f>E9+E10+E11+E12+E13</f>
        <v>1000</v>
      </c>
      <c r="F8" s="6">
        <f>F9+F10+F11+F12+F13</f>
        <v>90</v>
      </c>
      <c r="G8" s="18" t="s">
        <v>324</v>
      </c>
      <c r="H8" s="21">
        <f>H9+H10+H11+H12+H13</f>
        <v>90</v>
      </c>
    </row>
    <row r="9" spans="1:8" ht="22.5" customHeight="1" x14ac:dyDescent="0.25">
      <c r="A9" s="66"/>
      <c r="B9" s="68"/>
      <c r="C9" s="7" t="s">
        <v>200</v>
      </c>
      <c r="D9" s="5" t="s">
        <v>14</v>
      </c>
      <c r="E9" s="6">
        <f>0</f>
        <v>0</v>
      </c>
      <c r="F9" s="6">
        <f>0</f>
        <v>0</v>
      </c>
      <c r="G9" s="18" t="s">
        <v>8</v>
      </c>
      <c r="H9" s="21">
        <f>0</f>
        <v>0</v>
      </c>
    </row>
    <row r="10" spans="1:8" ht="22.5" customHeight="1" x14ac:dyDescent="0.25">
      <c r="A10" s="66"/>
      <c r="B10" s="68"/>
      <c r="C10" s="7" t="s">
        <v>201</v>
      </c>
      <c r="D10" s="5" t="s">
        <v>15</v>
      </c>
      <c r="E10" s="6">
        <f>0</f>
        <v>0</v>
      </c>
      <c r="F10" s="6">
        <f>0</f>
        <v>0</v>
      </c>
      <c r="G10" s="18" t="s">
        <v>8</v>
      </c>
      <c r="H10" s="21">
        <f>0</f>
        <v>0</v>
      </c>
    </row>
    <row r="11" spans="1:8" ht="22.5" customHeight="1" x14ac:dyDescent="0.25">
      <c r="A11" s="66"/>
      <c r="B11" s="68"/>
      <c r="C11" s="7" t="s">
        <v>202</v>
      </c>
      <c r="D11" s="5" t="s">
        <v>325</v>
      </c>
      <c r="E11" s="6">
        <f>0</f>
        <v>0</v>
      </c>
      <c r="F11" s="6">
        <f>0</f>
        <v>0</v>
      </c>
      <c r="G11" s="18" t="s">
        <v>8</v>
      </c>
      <c r="H11" s="21">
        <f>0</f>
        <v>0</v>
      </c>
    </row>
    <row r="12" spans="1:8" ht="22.5" customHeight="1" x14ac:dyDescent="0.25">
      <c r="A12" s="66"/>
      <c r="B12" s="68"/>
      <c r="C12" s="7" t="s">
        <v>203</v>
      </c>
      <c r="D12" s="5" t="s">
        <v>326</v>
      </c>
      <c r="E12" s="6">
        <f>1000</f>
        <v>1000</v>
      </c>
      <c r="F12" s="6">
        <f>90</f>
        <v>90</v>
      </c>
      <c r="G12" s="18" t="s">
        <v>324</v>
      </c>
      <c r="H12" s="21">
        <f>90</f>
        <v>90</v>
      </c>
    </row>
    <row r="13" spans="1:8" ht="22.5" customHeight="1" x14ac:dyDescent="0.25">
      <c r="A13" s="66"/>
      <c r="B13" s="68"/>
      <c r="C13" s="7" t="s">
        <v>204</v>
      </c>
      <c r="D13" s="5" t="s">
        <v>327</v>
      </c>
      <c r="E13" s="6">
        <f>0</f>
        <v>0</v>
      </c>
      <c r="F13" s="6">
        <f>0</f>
        <v>0</v>
      </c>
      <c r="G13" s="18" t="s">
        <v>8</v>
      </c>
      <c r="H13" s="21">
        <f>0</f>
        <v>0</v>
      </c>
    </row>
    <row r="14" spans="1:8" ht="22.5" customHeight="1" thickBot="1" x14ac:dyDescent="0.3">
      <c r="A14" s="69" t="s">
        <v>16</v>
      </c>
      <c r="B14" s="70"/>
      <c r="C14" s="70"/>
      <c r="D14" s="71"/>
      <c r="E14" s="27">
        <f>E5+E7</f>
        <v>1000</v>
      </c>
      <c r="F14" s="27">
        <f>F5+F7</f>
        <v>90</v>
      </c>
      <c r="G14" s="28" t="s">
        <v>324</v>
      </c>
      <c r="H14" s="29">
        <f>H5+H7</f>
        <v>90</v>
      </c>
    </row>
    <row r="15" spans="1:8" ht="22.5" customHeight="1" x14ac:dyDescent="0.25">
      <c r="A15" s="36">
        <v>2</v>
      </c>
      <c r="B15" s="72" t="s">
        <v>17</v>
      </c>
      <c r="C15" s="3" t="s">
        <v>18</v>
      </c>
      <c r="D15" s="3" t="s">
        <v>328</v>
      </c>
      <c r="E15" s="4">
        <f>E16+E18</f>
        <v>11170.67</v>
      </c>
      <c r="F15" s="4">
        <f>F16+F18</f>
        <v>2364.73</v>
      </c>
      <c r="G15" s="17" t="s">
        <v>329</v>
      </c>
      <c r="H15" s="22">
        <f>H16+H18</f>
        <v>2364.73</v>
      </c>
    </row>
    <row r="16" spans="1:8" ht="22.5" customHeight="1" x14ac:dyDescent="0.25">
      <c r="A16" s="36"/>
      <c r="B16" s="72"/>
      <c r="C16" s="5" t="s">
        <v>19</v>
      </c>
      <c r="D16" s="5" t="s">
        <v>20</v>
      </c>
      <c r="E16" s="6">
        <f>E17</f>
        <v>11055.47</v>
      </c>
      <c r="F16" s="6">
        <f>F17</f>
        <v>2346.5300000000002</v>
      </c>
      <c r="G16" s="18" t="s">
        <v>329</v>
      </c>
      <c r="H16" s="21">
        <f>H17</f>
        <v>2346.5300000000002</v>
      </c>
    </row>
    <row r="17" spans="1:8" ht="22.5" customHeight="1" x14ac:dyDescent="0.25">
      <c r="A17" s="36"/>
      <c r="B17" s="72"/>
      <c r="C17" s="7" t="s">
        <v>190</v>
      </c>
      <c r="D17" s="5" t="s">
        <v>21</v>
      </c>
      <c r="E17" s="6">
        <f>11055.47</f>
        <v>11055.47</v>
      </c>
      <c r="F17" s="6">
        <f>2346.53</f>
        <v>2346.5300000000002</v>
      </c>
      <c r="G17" s="18" t="s">
        <v>329</v>
      </c>
      <c r="H17" s="21">
        <f>2346.53</f>
        <v>2346.5300000000002</v>
      </c>
    </row>
    <row r="18" spans="1:8" ht="22.5" customHeight="1" x14ac:dyDescent="0.25">
      <c r="A18" s="36"/>
      <c r="B18" s="72"/>
      <c r="C18" s="5" t="s">
        <v>9</v>
      </c>
      <c r="D18" s="5" t="s">
        <v>330</v>
      </c>
      <c r="E18" s="6">
        <f>E19</f>
        <v>115.2</v>
      </c>
      <c r="F18" s="6">
        <f>F19</f>
        <v>18.2</v>
      </c>
      <c r="G18" s="18" t="s">
        <v>309</v>
      </c>
      <c r="H18" s="21">
        <f>H19</f>
        <v>18.2</v>
      </c>
    </row>
    <row r="19" spans="1:8" ht="22.5" customHeight="1" x14ac:dyDescent="0.25">
      <c r="A19" s="36"/>
      <c r="B19" s="72"/>
      <c r="C19" s="7" t="s">
        <v>212</v>
      </c>
      <c r="D19" s="5" t="s">
        <v>331</v>
      </c>
      <c r="E19" s="6">
        <f>115.2</f>
        <v>115.2</v>
      </c>
      <c r="F19" s="6">
        <f>18.2</f>
        <v>18.2</v>
      </c>
      <c r="G19" s="18" t="s">
        <v>309</v>
      </c>
      <c r="H19" s="21">
        <f>18.2</f>
        <v>18.2</v>
      </c>
    </row>
    <row r="20" spans="1:8" ht="22.5" customHeight="1" x14ac:dyDescent="0.25">
      <c r="A20" s="36"/>
      <c r="B20" s="72"/>
      <c r="C20" s="3" t="s">
        <v>22</v>
      </c>
      <c r="D20" s="3" t="s">
        <v>332</v>
      </c>
      <c r="E20" s="4">
        <f>E21+E25</f>
        <v>34117.409999999996</v>
      </c>
      <c r="F20" s="4">
        <f>F21+F25</f>
        <v>7081.05</v>
      </c>
      <c r="G20" s="17" t="s">
        <v>272</v>
      </c>
      <c r="H20" s="20">
        <f>H21+H25</f>
        <v>7081.05</v>
      </c>
    </row>
    <row r="21" spans="1:8" ht="22.5" customHeight="1" x14ac:dyDescent="0.25">
      <c r="A21" s="36"/>
      <c r="B21" s="72"/>
      <c r="C21" s="5" t="s">
        <v>19</v>
      </c>
      <c r="D21" s="5" t="s">
        <v>23</v>
      </c>
      <c r="E21" s="6">
        <f>E22+E23+E24</f>
        <v>33681.409999999996</v>
      </c>
      <c r="F21" s="6">
        <f>F22+F23+F24</f>
        <v>7013.05</v>
      </c>
      <c r="G21" s="18" t="s">
        <v>271</v>
      </c>
      <c r="H21" s="21">
        <f>H22+H23+H24</f>
        <v>7013.05</v>
      </c>
    </row>
    <row r="22" spans="1:8" ht="22.5" customHeight="1" x14ac:dyDescent="0.25">
      <c r="A22" s="36"/>
      <c r="B22" s="72"/>
      <c r="C22" s="7" t="s">
        <v>190</v>
      </c>
      <c r="D22" s="5" t="s">
        <v>24</v>
      </c>
      <c r="E22" s="6">
        <f>32823.6</f>
        <v>32823.599999999999</v>
      </c>
      <c r="F22" s="6">
        <f>7013.05</f>
        <v>7013.05</v>
      </c>
      <c r="G22" s="18" t="s">
        <v>289</v>
      </c>
      <c r="H22" s="21">
        <f>7013.05</f>
        <v>7013.05</v>
      </c>
    </row>
    <row r="23" spans="1:8" ht="22.5" customHeight="1" x14ac:dyDescent="0.25">
      <c r="A23" s="36"/>
      <c r="B23" s="72"/>
      <c r="C23" s="7" t="s">
        <v>191</v>
      </c>
      <c r="D23" s="5" t="s">
        <v>242</v>
      </c>
      <c r="E23" s="6">
        <f>200.21</f>
        <v>200.21</v>
      </c>
      <c r="F23" s="6">
        <f>0</f>
        <v>0</v>
      </c>
      <c r="G23" s="18" t="s">
        <v>39</v>
      </c>
      <c r="H23" s="21">
        <f>0</f>
        <v>0</v>
      </c>
    </row>
    <row r="24" spans="1:8" ht="22.5" customHeight="1" x14ac:dyDescent="0.25">
      <c r="A24" s="36"/>
      <c r="B24" s="72"/>
      <c r="C24" s="7" t="s">
        <v>199</v>
      </c>
      <c r="D24" s="5" t="s">
        <v>243</v>
      </c>
      <c r="E24" s="6">
        <f>151.91+283.18+222.51</f>
        <v>657.6</v>
      </c>
      <c r="F24" s="6">
        <f>0</f>
        <v>0</v>
      </c>
      <c r="G24" s="18" t="s">
        <v>39</v>
      </c>
      <c r="H24" s="21">
        <f>0</f>
        <v>0</v>
      </c>
    </row>
    <row r="25" spans="1:8" ht="22.5" customHeight="1" x14ac:dyDescent="0.25">
      <c r="A25" s="36"/>
      <c r="B25" s="72"/>
      <c r="C25" s="5" t="s">
        <v>31</v>
      </c>
      <c r="D25" s="5" t="s">
        <v>333</v>
      </c>
      <c r="E25" s="6">
        <f>E26</f>
        <v>436</v>
      </c>
      <c r="F25" s="6">
        <f>F26</f>
        <v>68</v>
      </c>
      <c r="G25" s="18" t="s">
        <v>293</v>
      </c>
      <c r="H25" s="21">
        <f>H26</f>
        <v>68</v>
      </c>
    </row>
    <row r="26" spans="1:8" ht="22.5" customHeight="1" x14ac:dyDescent="0.25">
      <c r="A26" s="36"/>
      <c r="B26" s="72"/>
      <c r="C26" s="7" t="s">
        <v>202</v>
      </c>
      <c r="D26" s="5" t="s">
        <v>334</v>
      </c>
      <c r="E26" s="6">
        <f>436</f>
        <v>436</v>
      </c>
      <c r="F26" s="6">
        <f>68</f>
        <v>68</v>
      </c>
      <c r="G26" s="18" t="s">
        <v>293</v>
      </c>
      <c r="H26" s="21">
        <f>68</f>
        <v>68</v>
      </c>
    </row>
    <row r="27" spans="1:8" ht="22.5" customHeight="1" x14ac:dyDescent="0.25">
      <c r="A27" s="36"/>
      <c r="B27" s="72"/>
      <c r="C27" s="3" t="s">
        <v>25</v>
      </c>
      <c r="D27" s="3" t="s">
        <v>335</v>
      </c>
      <c r="E27" s="4">
        <f>E28+E31</f>
        <v>112821.86000000002</v>
      </c>
      <c r="F27" s="4">
        <f>F28+F31</f>
        <v>19960.95</v>
      </c>
      <c r="G27" s="17" t="s">
        <v>336</v>
      </c>
      <c r="H27" s="20">
        <f>H28+H31</f>
        <v>19960.95</v>
      </c>
    </row>
    <row r="28" spans="1:8" ht="22.5" customHeight="1" x14ac:dyDescent="0.25">
      <c r="A28" s="36"/>
      <c r="B28" s="72"/>
      <c r="C28" s="5" t="s">
        <v>60</v>
      </c>
      <c r="D28" s="5" t="s">
        <v>27</v>
      </c>
      <c r="E28" s="6">
        <f>E29+E30</f>
        <v>111933.26000000001</v>
      </c>
      <c r="F28" s="6">
        <f>F29+F30</f>
        <v>19842.05</v>
      </c>
      <c r="G28" s="18" t="s">
        <v>336</v>
      </c>
      <c r="H28" s="21">
        <f>H29+H30</f>
        <v>19842.05</v>
      </c>
    </row>
    <row r="29" spans="1:8" ht="22.5" customHeight="1" x14ac:dyDescent="0.25">
      <c r="A29" s="36"/>
      <c r="B29" s="72"/>
      <c r="C29" s="7" t="s">
        <v>226</v>
      </c>
      <c r="D29" s="5" t="s">
        <v>28</v>
      </c>
      <c r="E29" s="6">
        <f>73287.89</f>
        <v>73287.89</v>
      </c>
      <c r="F29" s="6">
        <f>16726.45</f>
        <v>16726.45</v>
      </c>
      <c r="G29" s="18" t="s">
        <v>337</v>
      </c>
      <c r="H29" s="21">
        <f>16726.45</f>
        <v>16726.45</v>
      </c>
    </row>
    <row r="30" spans="1:8" ht="22.5" customHeight="1" x14ac:dyDescent="0.25">
      <c r="A30" s="36"/>
      <c r="B30" s="72"/>
      <c r="C30" s="7" t="s">
        <v>276</v>
      </c>
      <c r="D30" s="5" t="s">
        <v>29</v>
      </c>
      <c r="E30" s="6">
        <f>38645.37</f>
        <v>38645.370000000003</v>
      </c>
      <c r="F30" s="6">
        <f>3115.6</f>
        <v>3115.6</v>
      </c>
      <c r="G30" s="18" t="s">
        <v>338</v>
      </c>
      <c r="H30" s="21">
        <f>3115.6</f>
        <v>3115.6</v>
      </c>
    </row>
    <row r="31" spans="1:8" ht="22.5" customHeight="1" x14ac:dyDescent="0.25">
      <c r="A31" s="36"/>
      <c r="B31" s="72"/>
      <c r="C31" s="5" t="s">
        <v>26</v>
      </c>
      <c r="D31" s="5" t="s">
        <v>339</v>
      </c>
      <c r="E31" s="6">
        <f>E32</f>
        <v>888.6</v>
      </c>
      <c r="F31" s="6">
        <f>F32</f>
        <v>118.9</v>
      </c>
      <c r="G31" s="18" t="s">
        <v>307</v>
      </c>
      <c r="H31" s="21">
        <f>H32</f>
        <v>118.9</v>
      </c>
    </row>
    <row r="32" spans="1:8" ht="22.5" customHeight="1" x14ac:dyDescent="0.25">
      <c r="A32" s="36"/>
      <c r="B32" s="72"/>
      <c r="C32" s="7" t="s">
        <v>230</v>
      </c>
      <c r="D32" s="5" t="s">
        <v>340</v>
      </c>
      <c r="E32" s="6">
        <f>888.6</f>
        <v>888.6</v>
      </c>
      <c r="F32" s="6">
        <f>118.9</f>
        <v>118.9</v>
      </c>
      <c r="G32" s="18" t="s">
        <v>307</v>
      </c>
      <c r="H32" s="21">
        <f>118.9</f>
        <v>118.9</v>
      </c>
    </row>
    <row r="33" spans="1:8" ht="22.5" customHeight="1" x14ac:dyDescent="0.25">
      <c r="A33" s="36"/>
      <c r="B33" s="72"/>
      <c r="C33" s="3" t="s">
        <v>11</v>
      </c>
      <c r="D33" s="3" t="s">
        <v>341</v>
      </c>
      <c r="E33" s="4">
        <f>E34</f>
        <v>300</v>
      </c>
      <c r="F33" s="4">
        <f>F34</f>
        <v>0</v>
      </c>
      <c r="G33" s="17" t="s">
        <v>39</v>
      </c>
      <c r="H33" s="20">
        <f>H34</f>
        <v>0</v>
      </c>
    </row>
    <row r="34" spans="1:8" ht="22.5" customHeight="1" x14ac:dyDescent="0.25">
      <c r="A34" s="36"/>
      <c r="B34" s="72"/>
      <c r="C34" s="5" t="s">
        <v>19</v>
      </c>
      <c r="D34" s="5" t="s">
        <v>342</v>
      </c>
      <c r="E34" s="6">
        <f>E35</f>
        <v>300</v>
      </c>
      <c r="F34" s="6">
        <f>F35</f>
        <v>0</v>
      </c>
      <c r="G34" s="18" t="s">
        <v>39</v>
      </c>
      <c r="H34" s="21">
        <f>H35</f>
        <v>0</v>
      </c>
    </row>
    <row r="35" spans="1:8" ht="22.5" customHeight="1" x14ac:dyDescent="0.25">
      <c r="A35" s="36"/>
      <c r="B35" s="72"/>
      <c r="C35" s="7" t="s">
        <v>190</v>
      </c>
      <c r="D35" s="5" t="s">
        <v>343</v>
      </c>
      <c r="E35" s="6">
        <f>90+210</f>
        <v>300</v>
      </c>
      <c r="F35" s="6">
        <f>0</f>
        <v>0</v>
      </c>
      <c r="G35" s="18" t="s">
        <v>39</v>
      </c>
      <c r="H35" s="21">
        <f>0</f>
        <v>0</v>
      </c>
    </row>
    <row r="36" spans="1:8" ht="22.5" customHeight="1" x14ac:dyDescent="0.25">
      <c r="A36" s="36"/>
      <c r="B36" s="72"/>
      <c r="C36" s="3" t="s">
        <v>93</v>
      </c>
      <c r="D36" s="3" t="s">
        <v>344</v>
      </c>
      <c r="E36" s="4">
        <f>E37+E39+E41</f>
        <v>92291.86</v>
      </c>
      <c r="F36" s="4">
        <f>F37+F39+F41</f>
        <v>26980.010000000002</v>
      </c>
      <c r="G36" s="17" t="s">
        <v>345</v>
      </c>
      <c r="H36" s="20">
        <f>H37+H39+H41</f>
        <v>26980.010000000002</v>
      </c>
    </row>
    <row r="37" spans="1:8" ht="22.5" customHeight="1" x14ac:dyDescent="0.25">
      <c r="A37" s="36"/>
      <c r="B37" s="72"/>
      <c r="C37" s="5" t="s">
        <v>19</v>
      </c>
      <c r="D37" s="5" t="s">
        <v>294</v>
      </c>
      <c r="E37" s="6">
        <f>E38</f>
        <v>86500.45</v>
      </c>
      <c r="F37" s="6">
        <f>F38</f>
        <v>26928.81</v>
      </c>
      <c r="G37" s="18" t="s">
        <v>346</v>
      </c>
      <c r="H37" s="21">
        <f>H38</f>
        <v>26928.81</v>
      </c>
    </row>
    <row r="38" spans="1:8" ht="22.5" customHeight="1" x14ac:dyDescent="0.25">
      <c r="A38" s="36"/>
      <c r="B38" s="72"/>
      <c r="C38" s="7" t="s">
        <v>190</v>
      </c>
      <c r="D38" s="5" t="s">
        <v>295</v>
      </c>
      <c r="E38" s="6">
        <f>86500.45</f>
        <v>86500.45</v>
      </c>
      <c r="F38" s="6">
        <f>26928.81</f>
        <v>26928.81</v>
      </c>
      <c r="G38" s="18" t="s">
        <v>346</v>
      </c>
      <c r="H38" s="21">
        <f>26928.81</f>
        <v>26928.81</v>
      </c>
    </row>
    <row r="39" spans="1:8" ht="22.5" customHeight="1" x14ac:dyDescent="0.25">
      <c r="A39" s="36"/>
      <c r="B39" s="72"/>
      <c r="C39" s="5" t="s">
        <v>60</v>
      </c>
      <c r="D39" s="5" t="s">
        <v>347</v>
      </c>
      <c r="E39" s="6">
        <f>E40</f>
        <v>615.86</v>
      </c>
      <c r="F39" s="6">
        <f>F40</f>
        <v>51.2</v>
      </c>
      <c r="G39" s="18" t="s">
        <v>348</v>
      </c>
      <c r="H39" s="21">
        <f>H40</f>
        <v>51.2</v>
      </c>
    </row>
    <row r="40" spans="1:8" ht="22.5" customHeight="1" x14ac:dyDescent="0.25">
      <c r="A40" s="36"/>
      <c r="B40" s="72"/>
      <c r="C40" s="7" t="s">
        <v>226</v>
      </c>
      <c r="D40" s="5" t="s">
        <v>349</v>
      </c>
      <c r="E40" s="6">
        <f>615.86</f>
        <v>615.86</v>
      </c>
      <c r="F40" s="6">
        <f>51.2</f>
        <v>51.2</v>
      </c>
      <c r="G40" s="18" t="s">
        <v>348</v>
      </c>
      <c r="H40" s="21">
        <f>51.2</f>
        <v>51.2</v>
      </c>
    </row>
    <row r="41" spans="1:8" ht="22.5" customHeight="1" x14ac:dyDescent="0.25">
      <c r="A41" s="36"/>
      <c r="B41" s="72"/>
      <c r="C41" s="5" t="s">
        <v>174</v>
      </c>
      <c r="D41" s="5" t="s">
        <v>55</v>
      </c>
      <c r="E41" s="6">
        <f>E42+E43</f>
        <v>5175.55</v>
      </c>
      <c r="F41" s="6">
        <f>F42+F43</f>
        <v>0</v>
      </c>
      <c r="G41" s="18" t="s">
        <v>39</v>
      </c>
      <c r="H41" s="21">
        <f>H42+H43</f>
        <v>0</v>
      </c>
    </row>
    <row r="42" spans="1:8" ht="22.5" customHeight="1" x14ac:dyDescent="0.25">
      <c r="A42" s="36"/>
      <c r="B42" s="72"/>
      <c r="C42" s="7" t="s">
        <v>350</v>
      </c>
      <c r="D42" s="5" t="s">
        <v>351</v>
      </c>
      <c r="E42" s="6">
        <f>1195.55+2985+995</f>
        <v>5175.55</v>
      </c>
      <c r="F42" s="6">
        <f>0</f>
        <v>0</v>
      </c>
      <c r="G42" s="18" t="s">
        <v>39</v>
      </c>
      <c r="H42" s="21">
        <f>0</f>
        <v>0</v>
      </c>
    </row>
    <row r="43" spans="1:8" ht="22.5" customHeight="1" x14ac:dyDescent="0.25">
      <c r="A43" s="36"/>
      <c r="B43" s="72"/>
      <c r="C43" s="7" t="s">
        <v>352</v>
      </c>
      <c r="D43" s="5" t="s">
        <v>353</v>
      </c>
      <c r="E43" s="6">
        <f>0</f>
        <v>0</v>
      </c>
      <c r="F43" s="6">
        <f>0</f>
        <v>0</v>
      </c>
      <c r="G43" s="18" t="s">
        <v>8</v>
      </c>
      <c r="H43" s="21">
        <f>0</f>
        <v>0</v>
      </c>
    </row>
    <row r="44" spans="1:8" ht="22.5" customHeight="1" x14ac:dyDescent="0.25">
      <c r="A44" s="36"/>
      <c r="B44" s="72"/>
      <c r="C44" s="3" t="s">
        <v>33</v>
      </c>
      <c r="D44" s="3" t="s">
        <v>34</v>
      </c>
      <c r="E44" s="4">
        <f>E45</f>
        <v>7511.18</v>
      </c>
      <c r="F44" s="4">
        <f>F45</f>
        <v>1802.35</v>
      </c>
      <c r="G44" s="17" t="s">
        <v>270</v>
      </c>
      <c r="H44" s="20">
        <f>H45</f>
        <v>1802.35</v>
      </c>
    </row>
    <row r="45" spans="1:8" ht="22.5" customHeight="1" x14ac:dyDescent="0.25">
      <c r="A45" s="36"/>
      <c r="B45" s="72"/>
      <c r="C45" s="5" t="s">
        <v>19</v>
      </c>
      <c r="D45" s="5" t="s">
        <v>35</v>
      </c>
      <c r="E45" s="6">
        <f>E46</f>
        <v>7511.18</v>
      </c>
      <c r="F45" s="6">
        <f>F46</f>
        <v>1802.35</v>
      </c>
      <c r="G45" s="18" t="s">
        <v>270</v>
      </c>
      <c r="H45" s="21">
        <f>H46</f>
        <v>1802.35</v>
      </c>
    </row>
    <row r="46" spans="1:8" ht="22.5" customHeight="1" x14ac:dyDescent="0.25">
      <c r="A46" s="36"/>
      <c r="B46" s="72"/>
      <c r="C46" s="7" t="s">
        <v>190</v>
      </c>
      <c r="D46" s="5" t="s">
        <v>36</v>
      </c>
      <c r="E46" s="6">
        <f>7511.18</f>
        <v>7511.18</v>
      </c>
      <c r="F46" s="6">
        <f>1802.35</f>
        <v>1802.35</v>
      </c>
      <c r="G46" s="18" t="s">
        <v>270</v>
      </c>
      <c r="H46" s="21">
        <f>1802.35</f>
        <v>1802.35</v>
      </c>
    </row>
    <row r="47" spans="1:8" ht="22.5" customHeight="1" x14ac:dyDescent="0.25">
      <c r="A47" s="36"/>
      <c r="B47" s="72"/>
      <c r="C47" s="3" t="s">
        <v>37</v>
      </c>
      <c r="D47" s="3" t="s">
        <v>354</v>
      </c>
      <c r="E47" s="4">
        <f>E48+E49</f>
        <v>0</v>
      </c>
      <c r="F47" s="4">
        <f>F48+F49</f>
        <v>0</v>
      </c>
      <c r="G47" s="17" t="s">
        <v>8</v>
      </c>
      <c r="H47" s="20">
        <f>H48+H49</f>
        <v>0</v>
      </c>
    </row>
    <row r="48" spans="1:8" ht="22.5" customHeight="1" x14ac:dyDescent="0.25">
      <c r="A48" s="36"/>
      <c r="B48" s="72"/>
      <c r="C48" s="5" t="s">
        <v>19</v>
      </c>
      <c r="D48" s="5" t="s">
        <v>167</v>
      </c>
      <c r="E48" s="6">
        <f>0</f>
        <v>0</v>
      </c>
      <c r="F48" s="6">
        <f>0</f>
        <v>0</v>
      </c>
      <c r="G48" s="18" t="s">
        <v>8</v>
      </c>
      <c r="H48" s="21">
        <f>0</f>
        <v>0</v>
      </c>
    </row>
    <row r="49" spans="1:8" ht="22.5" customHeight="1" x14ac:dyDescent="0.25">
      <c r="A49" s="36"/>
      <c r="B49" s="72"/>
      <c r="C49" s="5" t="s">
        <v>31</v>
      </c>
      <c r="D49" s="5" t="s">
        <v>32</v>
      </c>
      <c r="E49" s="6">
        <f>0</f>
        <v>0</v>
      </c>
      <c r="F49" s="6">
        <f>0</f>
        <v>0</v>
      </c>
      <c r="G49" s="18" t="s">
        <v>8</v>
      </c>
      <c r="H49" s="21">
        <f>0</f>
        <v>0</v>
      </c>
    </row>
    <row r="50" spans="1:8" ht="22.5" customHeight="1" thickBot="1" x14ac:dyDescent="0.3">
      <c r="A50" s="62" t="s">
        <v>16</v>
      </c>
      <c r="B50" s="63"/>
      <c r="C50" s="63"/>
      <c r="D50" s="64"/>
      <c r="E50" s="30">
        <f>E15+E20+E27+E33+E36+E44+E47</f>
        <v>258212.97999999998</v>
      </c>
      <c r="F50" s="27">
        <f>F15+F20+F27+F33+F36+F44+F47</f>
        <v>58189.090000000004</v>
      </c>
      <c r="G50" s="28" t="s">
        <v>355</v>
      </c>
      <c r="H50" s="29">
        <f>H15+H20+H27+H33+H36+H44+H47</f>
        <v>58189.090000000004</v>
      </c>
    </row>
    <row r="51" spans="1:8" ht="22.5" customHeight="1" x14ac:dyDescent="0.25">
      <c r="A51" s="73">
        <v>3</v>
      </c>
      <c r="B51" s="74" t="s">
        <v>38</v>
      </c>
      <c r="C51" s="3" t="s">
        <v>6</v>
      </c>
      <c r="D51" s="3" t="s">
        <v>45</v>
      </c>
      <c r="E51" s="4">
        <f>E52+E66+E70+E72+E73+E74+E75+E77</f>
        <v>2236411.37</v>
      </c>
      <c r="F51" s="4">
        <f>F52+F66+F70+F72+F73+F74+F75+F77</f>
        <v>360311.26</v>
      </c>
      <c r="G51" s="17" t="s">
        <v>590</v>
      </c>
      <c r="H51" s="22">
        <f>H52+H66+H70+H72+H73+H74+H75+H77</f>
        <v>360311.26</v>
      </c>
    </row>
    <row r="52" spans="1:8" ht="22.5" customHeight="1" x14ac:dyDescent="0.25">
      <c r="A52" s="37"/>
      <c r="B52" s="75"/>
      <c r="C52" s="5" t="s">
        <v>19</v>
      </c>
      <c r="D52" s="5" t="s">
        <v>46</v>
      </c>
      <c r="E52" s="6">
        <f>E53+E54+E55+E56+E57+E58+E59+E60+E61+E62+E63+E64+E65</f>
        <v>2083907.46</v>
      </c>
      <c r="F52" s="6">
        <f>F53+F54+F55+F56+F57+F58+F59+F60+F61+F62+F63+F64+F65</f>
        <v>332837.59000000003</v>
      </c>
      <c r="G52" s="18" t="s">
        <v>319</v>
      </c>
      <c r="H52" s="21">
        <f>H53+H54+H55+H56+H57+H58+H59+H60+H61+H62+H63+H64+H65</f>
        <v>332837.59000000003</v>
      </c>
    </row>
    <row r="53" spans="1:8" ht="22.5" customHeight="1" x14ac:dyDescent="0.25">
      <c r="A53" s="37"/>
      <c r="B53" s="75"/>
      <c r="C53" s="7" t="s">
        <v>190</v>
      </c>
      <c r="D53" s="5" t="s">
        <v>40</v>
      </c>
      <c r="E53" s="6">
        <f>0</f>
        <v>0</v>
      </c>
      <c r="F53" s="6">
        <f>0</f>
        <v>0</v>
      </c>
      <c r="G53" s="18" t="s">
        <v>8</v>
      </c>
      <c r="H53" s="21">
        <f>0</f>
        <v>0</v>
      </c>
    </row>
    <row r="54" spans="1:8" ht="22.5" customHeight="1" x14ac:dyDescent="0.25">
      <c r="A54" s="37"/>
      <c r="B54" s="75"/>
      <c r="C54" s="7" t="s">
        <v>209</v>
      </c>
      <c r="D54" s="5" t="s">
        <v>591</v>
      </c>
      <c r="E54" s="6">
        <f>32373+1587467</f>
        <v>1619840</v>
      </c>
      <c r="F54" s="6">
        <f>7870.59+237879.23</f>
        <v>245749.82</v>
      </c>
      <c r="G54" s="18" t="s">
        <v>454</v>
      </c>
      <c r="H54" s="21">
        <f>7870.59+237879.23</f>
        <v>245749.82</v>
      </c>
    </row>
    <row r="55" spans="1:8" ht="22.5" customHeight="1" x14ac:dyDescent="0.25">
      <c r="A55" s="37"/>
      <c r="B55" s="75"/>
      <c r="C55" s="7" t="s">
        <v>210</v>
      </c>
      <c r="D55" s="5" t="s">
        <v>592</v>
      </c>
      <c r="E55" s="6">
        <f>38730</f>
        <v>38730</v>
      </c>
      <c r="F55" s="6">
        <f>9477</f>
        <v>9477</v>
      </c>
      <c r="G55" s="18" t="s">
        <v>593</v>
      </c>
      <c r="H55" s="21">
        <f>9477</f>
        <v>9477</v>
      </c>
    </row>
    <row r="56" spans="1:8" ht="22.5" customHeight="1" x14ac:dyDescent="0.25">
      <c r="A56" s="37"/>
      <c r="B56" s="75"/>
      <c r="C56" s="7" t="s">
        <v>225</v>
      </c>
      <c r="D56" s="5" t="s">
        <v>594</v>
      </c>
      <c r="E56" s="6">
        <f>35580</f>
        <v>35580</v>
      </c>
      <c r="F56" s="6">
        <f>7285.5</f>
        <v>7285.5</v>
      </c>
      <c r="G56" s="18" t="s">
        <v>595</v>
      </c>
      <c r="H56" s="21">
        <f>7285.5</f>
        <v>7285.5</v>
      </c>
    </row>
    <row r="57" spans="1:8" ht="22.5" customHeight="1" x14ac:dyDescent="0.25">
      <c r="A57" s="37"/>
      <c r="B57" s="75"/>
      <c r="C57" s="7" t="s">
        <v>232</v>
      </c>
      <c r="D57" s="5" t="s">
        <v>596</v>
      </c>
      <c r="E57" s="6">
        <f>157370.68</f>
        <v>157370.68</v>
      </c>
      <c r="F57" s="6">
        <f>33719.71</f>
        <v>33719.71</v>
      </c>
      <c r="G57" s="18" t="s">
        <v>289</v>
      </c>
      <c r="H57" s="21">
        <f>33719.71</f>
        <v>33719.71</v>
      </c>
    </row>
    <row r="58" spans="1:8" ht="22.5" customHeight="1" x14ac:dyDescent="0.25">
      <c r="A58" s="37"/>
      <c r="B58" s="75"/>
      <c r="C58" s="7" t="s">
        <v>233</v>
      </c>
      <c r="D58" s="5" t="s">
        <v>47</v>
      </c>
      <c r="E58" s="6">
        <f>8761.18</f>
        <v>8761.18</v>
      </c>
      <c r="F58" s="6">
        <f>3</f>
        <v>3</v>
      </c>
      <c r="G58" s="18" t="s">
        <v>597</v>
      </c>
      <c r="H58" s="21">
        <f>3</f>
        <v>3</v>
      </c>
    </row>
    <row r="59" spans="1:8" ht="22.5" customHeight="1" x14ac:dyDescent="0.25">
      <c r="A59" s="37"/>
      <c r="B59" s="75"/>
      <c r="C59" s="7" t="s">
        <v>234</v>
      </c>
      <c r="D59" s="5" t="s">
        <v>48</v>
      </c>
      <c r="E59" s="6">
        <f>39239.01</f>
        <v>39239.01</v>
      </c>
      <c r="F59" s="6">
        <f>5809.1</f>
        <v>5809.1</v>
      </c>
      <c r="G59" s="18" t="s">
        <v>598</v>
      </c>
      <c r="H59" s="21">
        <f>5809.1</f>
        <v>5809.1</v>
      </c>
    </row>
    <row r="60" spans="1:8" ht="22.5" customHeight="1" x14ac:dyDescent="0.25">
      <c r="A60" s="37"/>
      <c r="B60" s="75"/>
      <c r="C60" s="7" t="s">
        <v>235</v>
      </c>
      <c r="D60" s="5" t="s">
        <v>49</v>
      </c>
      <c r="E60" s="6">
        <f>300</f>
        <v>300</v>
      </c>
      <c r="F60" s="6">
        <f>0</f>
        <v>0</v>
      </c>
      <c r="G60" s="18" t="s">
        <v>39</v>
      </c>
      <c r="H60" s="21">
        <f>0</f>
        <v>0</v>
      </c>
    </row>
    <row r="61" spans="1:8" ht="22.5" customHeight="1" x14ac:dyDescent="0.25">
      <c r="A61" s="37"/>
      <c r="B61" s="75"/>
      <c r="C61" s="7" t="s">
        <v>236</v>
      </c>
      <c r="D61" s="5" t="s">
        <v>44</v>
      </c>
      <c r="E61" s="6">
        <f>26205.19</f>
        <v>26205.19</v>
      </c>
      <c r="F61" s="6">
        <f>3777.96</f>
        <v>3777.96</v>
      </c>
      <c r="G61" s="18" t="s">
        <v>322</v>
      </c>
      <c r="H61" s="21">
        <f>3777.96</f>
        <v>3777.96</v>
      </c>
    </row>
    <row r="62" spans="1:8" ht="22.5" customHeight="1" x14ac:dyDescent="0.25">
      <c r="A62" s="37"/>
      <c r="B62" s="75"/>
      <c r="C62" s="7" t="s">
        <v>237</v>
      </c>
      <c r="D62" s="5" t="s">
        <v>50</v>
      </c>
      <c r="E62" s="6">
        <f>0</f>
        <v>0</v>
      </c>
      <c r="F62" s="6">
        <f>0</f>
        <v>0</v>
      </c>
      <c r="G62" s="18" t="s">
        <v>8</v>
      </c>
      <c r="H62" s="21">
        <f>0</f>
        <v>0</v>
      </c>
    </row>
    <row r="63" spans="1:8" ht="22.5" customHeight="1" x14ac:dyDescent="0.25">
      <c r="A63" s="37"/>
      <c r="B63" s="75"/>
      <c r="C63" s="7" t="s">
        <v>238</v>
      </c>
      <c r="D63" s="5" t="s">
        <v>41</v>
      </c>
      <c r="E63" s="6">
        <f>125598.09</f>
        <v>125598.09</v>
      </c>
      <c r="F63" s="6">
        <f>23085.26</f>
        <v>23085.26</v>
      </c>
      <c r="G63" s="18" t="s">
        <v>292</v>
      </c>
      <c r="H63" s="21">
        <f>23085.26</f>
        <v>23085.26</v>
      </c>
    </row>
    <row r="64" spans="1:8" ht="22.5" customHeight="1" x14ac:dyDescent="0.25">
      <c r="A64" s="37"/>
      <c r="B64" s="75"/>
      <c r="C64" s="7" t="s">
        <v>312</v>
      </c>
      <c r="D64" s="5" t="s">
        <v>42</v>
      </c>
      <c r="E64" s="6">
        <f>7847.47</f>
        <v>7847.47</v>
      </c>
      <c r="F64" s="6">
        <f>0</f>
        <v>0</v>
      </c>
      <c r="G64" s="18" t="s">
        <v>39</v>
      </c>
      <c r="H64" s="21">
        <f>0</f>
        <v>0</v>
      </c>
    </row>
    <row r="65" spans="1:8" ht="22.5" customHeight="1" x14ac:dyDescent="0.25">
      <c r="A65" s="37"/>
      <c r="B65" s="75"/>
      <c r="C65" s="7" t="s">
        <v>258</v>
      </c>
      <c r="D65" s="5" t="s">
        <v>43</v>
      </c>
      <c r="E65" s="6">
        <f>24435.84</f>
        <v>24435.84</v>
      </c>
      <c r="F65" s="6">
        <f>3930.24</f>
        <v>3930.24</v>
      </c>
      <c r="G65" s="18" t="s">
        <v>590</v>
      </c>
      <c r="H65" s="21">
        <f>3930.24</f>
        <v>3930.24</v>
      </c>
    </row>
    <row r="66" spans="1:8" ht="22.5" customHeight="1" x14ac:dyDescent="0.25">
      <c r="A66" s="37"/>
      <c r="B66" s="75"/>
      <c r="C66" s="5" t="s">
        <v>31</v>
      </c>
      <c r="D66" s="5" t="s">
        <v>51</v>
      </c>
      <c r="E66" s="6">
        <f>E67+E68+E69</f>
        <v>101756.47</v>
      </c>
      <c r="F66" s="6">
        <f>F67+F68+F69</f>
        <v>19183.489999999998</v>
      </c>
      <c r="G66" s="18" t="s">
        <v>599</v>
      </c>
      <c r="H66" s="21">
        <f>H67+H68+H69</f>
        <v>19183.489999999998</v>
      </c>
    </row>
    <row r="67" spans="1:8" ht="22.5" customHeight="1" x14ac:dyDescent="0.25">
      <c r="A67" s="37"/>
      <c r="B67" s="75"/>
      <c r="C67" s="7" t="s">
        <v>205</v>
      </c>
      <c r="D67" s="5" t="s">
        <v>600</v>
      </c>
      <c r="E67" s="6">
        <f>6557.15+36720.02+22294.3</f>
        <v>65571.47</v>
      </c>
      <c r="F67" s="6">
        <f>1200.97+6725.4+4083.28</f>
        <v>12009.65</v>
      </c>
      <c r="G67" s="18" t="s">
        <v>285</v>
      </c>
      <c r="H67" s="21">
        <f>1200.97+6725.4+4083.28</f>
        <v>12009.65</v>
      </c>
    </row>
    <row r="68" spans="1:8" ht="22.5" customHeight="1" x14ac:dyDescent="0.25">
      <c r="A68" s="37"/>
      <c r="B68" s="75"/>
      <c r="C68" s="7" t="s">
        <v>601</v>
      </c>
      <c r="D68" s="5" t="s">
        <v>602</v>
      </c>
      <c r="E68" s="6">
        <f>35495</f>
        <v>35495</v>
      </c>
      <c r="F68" s="6">
        <f>1657.23+5516.61</f>
        <v>7173.84</v>
      </c>
      <c r="G68" s="18" t="s">
        <v>388</v>
      </c>
      <c r="H68" s="21">
        <f>1657.23+5516.61</f>
        <v>7173.84</v>
      </c>
    </row>
    <row r="69" spans="1:8" ht="22.5" customHeight="1" x14ac:dyDescent="0.25">
      <c r="A69" s="37"/>
      <c r="B69" s="75"/>
      <c r="C69" s="7" t="s">
        <v>603</v>
      </c>
      <c r="D69" s="5" t="s">
        <v>604</v>
      </c>
      <c r="E69" s="6">
        <f>690</f>
        <v>690</v>
      </c>
      <c r="F69" s="6">
        <f>0</f>
        <v>0</v>
      </c>
      <c r="G69" s="18" t="s">
        <v>39</v>
      </c>
      <c r="H69" s="21">
        <f>0</f>
        <v>0</v>
      </c>
    </row>
    <row r="70" spans="1:8" ht="22.5" customHeight="1" x14ac:dyDescent="0.25">
      <c r="A70" s="37"/>
      <c r="B70" s="75"/>
      <c r="C70" s="5" t="s">
        <v>9</v>
      </c>
      <c r="D70" s="5" t="s">
        <v>91</v>
      </c>
      <c r="E70" s="6">
        <f>E71</f>
        <v>13215.04</v>
      </c>
      <c r="F70" s="6">
        <f>F71</f>
        <v>896.6</v>
      </c>
      <c r="G70" s="18" t="s">
        <v>403</v>
      </c>
      <c r="H70" s="21">
        <f>H71</f>
        <v>896.6</v>
      </c>
    </row>
    <row r="71" spans="1:8" ht="22.5" customHeight="1" x14ac:dyDescent="0.25">
      <c r="A71" s="37"/>
      <c r="B71" s="75"/>
      <c r="C71" s="7" t="s">
        <v>188</v>
      </c>
      <c r="D71" s="5" t="s">
        <v>605</v>
      </c>
      <c r="E71" s="6">
        <f>13215.04</f>
        <v>13215.04</v>
      </c>
      <c r="F71" s="6">
        <f>896.6</f>
        <v>896.6</v>
      </c>
      <c r="G71" s="18" t="s">
        <v>403</v>
      </c>
      <c r="H71" s="21">
        <f>896.6</f>
        <v>896.6</v>
      </c>
    </row>
    <row r="72" spans="1:8" ht="22.5" customHeight="1" x14ac:dyDescent="0.25">
      <c r="A72" s="37"/>
      <c r="B72" s="75"/>
      <c r="C72" s="5" t="s">
        <v>60</v>
      </c>
      <c r="D72" s="5" t="s">
        <v>53</v>
      </c>
      <c r="E72" s="6">
        <f>0</f>
        <v>0</v>
      </c>
      <c r="F72" s="6">
        <f>0</f>
        <v>0</v>
      </c>
      <c r="G72" s="18" t="s">
        <v>8</v>
      </c>
      <c r="H72" s="21">
        <f>0</f>
        <v>0</v>
      </c>
    </row>
    <row r="73" spans="1:8" ht="22.5" customHeight="1" x14ac:dyDescent="0.25">
      <c r="A73" s="37"/>
      <c r="B73" s="75"/>
      <c r="C73" s="5" t="s">
        <v>95</v>
      </c>
      <c r="D73" s="5" t="s">
        <v>184</v>
      </c>
      <c r="E73" s="6">
        <f>0</f>
        <v>0</v>
      </c>
      <c r="F73" s="6">
        <f>0</f>
        <v>0</v>
      </c>
      <c r="G73" s="18" t="s">
        <v>8</v>
      </c>
      <c r="H73" s="21">
        <f>0</f>
        <v>0</v>
      </c>
    </row>
    <row r="74" spans="1:8" ht="22.5" customHeight="1" x14ac:dyDescent="0.25">
      <c r="A74" s="37"/>
      <c r="B74" s="75"/>
      <c r="C74" s="5" t="s">
        <v>356</v>
      </c>
      <c r="D74" s="5" t="s">
        <v>606</v>
      </c>
      <c r="E74" s="6">
        <f>0</f>
        <v>0</v>
      </c>
      <c r="F74" s="6">
        <f>0</f>
        <v>0</v>
      </c>
      <c r="G74" s="18" t="s">
        <v>8</v>
      </c>
      <c r="H74" s="21">
        <f>0</f>
        <v>0</v>
      </c>
    </row>
    <row r="75" spans="1:8" ht="22.5" customHeight="1" x14ac:dyDescent="0.25">
      <c r="A75" s="37"/>
      <c r="B75" s="75"/>
      <c r="C75" s="5" t="s">
        <v>607</v>
      </c>
      <c r="D75" s="5" t="s">
        <v>608</v>
      </c>
      <c r="E75" s="6">
        <f>E76</f>
        <v>4248.3999999999996</v>
      </c>
      <c r="F75" s="6">
        <f>F76</f>
        <v>1030.3899999999999</v>
      </c>
      <c r="G75" s="18" t="s">
        <v>609</v>
      </c>
      <c r="H75" s="21">
        <f>H76</f>
        <v>1030.3899999999999</v>
      </c>
    </row>
    <row r="76" spans="1:8" ht="22.5" customHeight="1" x14ac:dyDescent="0.25">
      <c r="A76" s="37"/>
      <c r="B76" s="75"/>
      <c r="C76" s="7" t="s">
        <v>610</v>
      </c>
      <c r="D76" s="5" t="s">
        <v>611</v>
      </c>
      <c r="E76" s="6">
        <f>3186.3+1062.1</f>
        <v>4248.3999999999996</v>
      </c>
      <c r="F76" s="6">
        <f>772.79+257.6</f>
        <v>1030.3899999999999</v>
      </c>
      <c r="G76" s="18" t="s">
        <v>609</v>
      </c>
      <c r="H76" s="21">
        <f>772.79+257.6</f>
        <v>1030.3899999999999</v>
      </c>
    </row>
    <row r="77" spans="1:8" ht="22.5" customHeight="1" x14ac:dyDescent="0.25">
      <c r="A77" s="37"/>
      <c r="B77" s="75"/>
      <c r="C77" s="5" t="s">
        <v>168</v>
      </c>
      <c r="D77" s="5" t="s">
        <v>185</v>
      </c>
      <c r="E77" s="6">
        <f>E78+E79</f>
        <v>33284</v>
      </c>
      <c r="F77" s="6">
        <f>F78+F79</f>
        <v>6363.19</v>
      </c>
      <c r="G77" s="18" t="s">
        <v>318</v>
      </c>
      <c r="H77" s="21">
        <f>H78+H79</f>
        <v>6363.19</v>
      </c>
    </row>
    <row r="78" spans="1:8" ht="22.5" customHeight="1" x14ac:dyDescent="0.25">
      <c r="A78" s="37"/>
      <c r="B78" s="75"/>
      <c r="C78" s="7" t="s">
        <v>206</v>
      </c>
      <c r="D78" s="5" t="s">
        <v>612</v>
      </c>
      <c r="E78" s="6">
        <f>7688+25596</f>
        <v>33284</v>
      </c>
      <c r="F78" s="6">
        <f>1469.78+4893.41</f>
        <v>6363.19</v>
      </c>
      <c r="G78" s="18" t="s">
        <v>318</v>
      </c>
      <c r="H78" s="21">
        <f>1469.78+4893.41</f>
        <v>6363.19</v>
      </c>
    </row>
    <row r="79" spans="1:8" ht="22.5" customHeight="1" x14ac:dyDescent="0.25">
      <c r="A79" s="37"/>
      <c r="B79" s="75"/>
      <c r="C79" s="7" t="s">
        <v>207</v>
      </c>
      <c r="D79" s="5" t="s">
        <v>186</v>
      </c>
      <c r="E79" s="6">
        <f>0</f>
        <v>0</v>
      </c>
      <c r="F79" s="6">
        <f>0</f>
        <v>0</v>
      </c>
      <c r="G79" s="18" t="s">
        <v>8</v>
      </c>
      <c r="H79" s="21">
        <f>0</f>
        <v>0</v>
      </c>
    </row>
    <row r="80" spans="1:8" ht="22.5" customHeight="1" x14ac:dyDescent="0.25">
      <c r="A80" s="37"/>
      <c r="B80" s="75"/>
      <c r="C80" s="3" t="s">
        <v>18</v>
      </c>
      <c r="D80" s="3" t="s">
        <v>54</v>
      </c>
      <c r="E80" s="4">
        <f>E81+E86+E88+E90+E91</f>
        <v>106485.68999999999</v>
      </c>
      <c r="F80" s="4">
        <f>F81+F86+F88+F90+F91</f>
        <v>12792.920000000002</v>
      </c>
      <c r="G80" s="17" t="s">
        <v>269</v>
      </c>
      <c r="H80" s="20">
        <f>H81+H86+H88+H90+H91</f>
        <v>12792.920000000002</v>
      </c>
    </row>
    <row r="81" spans="1:8" ht="22.5" customHeight="1" x14ac:dyDescent="0.25">
      <c r="A81" s="37"/>
      <c r="B81" s="75"/>
      <c r="C81" s="5" t="s">
        <v>31</v>
      </c>
      <c r="D81" s="5" t="s">
        <v>613</v>
      </c>
      <c r="E81" s="6">
        <f>E82+E83+E84+E85</f>
        <v>103659.90999999999</v>
      </c>
      <c r="F81" s="6">
        <f>F82+F83+F84+F85</f>
        <v>12726.720000000001</v>
      </c>
      <c r="G81" s="18" t="s">
        <v>589</v>
      </c>
      <c r="H81" s="21">
        <f>H82+H83+H84+H85</f>
        <v>12726.720000000001</v>
      </c>
    </row>
    <row r="82" spans="1:8" ht="22.5" customHeight="1" x14ac:dyDescent="0.25">
      <c r="A82" s="37"/>
      <c r="B82" s="75"/>
      <c r="C82" s="7" t="s">
        <v>200</v>
      </c>
      <c r="D82" s="5" t="s">
        <v>57</v>
      </c>
      <c r="E82" s="6">
        <f>97192.79</f>
        <v>97192.79</v>
      </c>
      <c r="F82" s="6">
        <f>11718.53</f>
        <v>11718.53</v>
      </c>
      <c r="G82" s="18" t="s">
        <v>269</v>
      </c>
      <c r="H82" s="21">
        <f>11718.53</f>
        <v>11718.53</v>
      </c>
    </row>
    <row r="83" spans="1:8" ht="22.5" customHeight="1" x14ac:dyDescent="0.25">
      <c r="A83" s="37"/>
      <c r="B83" s="75"/>
      <c r="C83" s="7" t="s">
        <v>201</v>
      </c>
      <c r="D83" s="5" t="s">
        <v>58</v>
      </c>
      <c r="E83" s="6">
        <f>230</f>
        <v>230</v>
      </c>
      <c r="F83" s="6">
        <f>0</f>
        <v>0</v>
      </c>
      <c r="G83" s="18" t="s">
        <v>39</v>
      </c>
      <c r="H83" s="21">
        <f>0</f>
        <v>0</v>
      </c>
    </row>
    <row r="84" spans="1:8" ht="22.5" customHeight="1" x14ac:dyDescent="0.25">
      <c r="A84" s="37"/>
      <c r="B84" s="75"/>
      <c r="C84" s="7" t="s">
        <v>202</v>
      </c>
      <c r="D84" s="5" t="s">
        <v>59</v>
      </c>
      <c r="E84" s="6">
        <f>6237.12</f>
        <v>6237.12</v>
      </c>
      <c r="F84" s="6">
        <f>1008.19</f>
        <v>1008.19</v>
      </c>
      <c r="G84" s="18" t="s">
        <v>614</v>
      </c>
      <c r="H84" s="21">
        <f>1008.19</f>
        <v>1008.19</v>
      </c>
    </row>
    <row r="85" spans="1:8" ht="22.5" customHeight="1" x14ac:dyDescent="0.25">
      <c r="A85" s="37"/>
      <c r="B85" s="75"/>
      <c r="C85" s="7" t="s">
        <v>203</v>
      </c>
      <c r="D85" s="5" t="s">
        <v>615</v>
      </c>
      <c r="E85" s="6">
        <f>0</f>
        <v>0</v>
      </c>
      <c r="F85" s="6">
        <f>0</f>
        <v>0</v>
      </c>
      <c r="G85" s="18" t="s">
        <v>8</v>
      </c>
      <c r="H85" s="21">
        <f>0</f>
        <v>0</v>
      </c>
    </row>
    <row r="86" spans="1:8" ht="22.5" customHeight="1" x14ac:dyDescent="0.25">
      <c r="A86" s="37"/>
      <c r="B86" s="75"/>
      <c r="C86" s="5" t="s">
        <v>60</v>
      </c>
      <c r="D86" s="5" t="s">
        <v>61</v>
      </c>
      <c r="E86" s="6">
        <f>E87</f>
        <v>1200</v>
      </c>
      <c r="F86" s="6">
        <f>F87</f>
        <v>0</v>
      </c>
      <c r="G86" s="18" t="s">
        <v>39</v>
      </c>
      <c r="H86" s="21">
        <f>H87</f>
        <v>0</v>
      </c>
    </row>
    <row r="87" spans="1:8" ht="22.5" customHeight="1" x14ac:dyDescent="0.25">
      <c r="A87" s="37"/>
      <c r="B87" s="75"/>
      <c r="C87" s="7" t="s">
        <v>226</v>
      </c>
      <c r="D87" s="5" t="s">
        <v>187</v>
      </c>
      <c r="E87" s="6">
        <f>1200</f>
        <v>1200</v>
      </c>
      <c r="F87" s="6">
        <f>0</f>
        <v>0</v>
      </c>
      <c r="G87" s="18" t="s">
        <v>39</v>
      </c>
      <c r="H87" s="21">
        <f>0</f>
        <v>0</v>
      </c>
    </row>
    <row r="88" spans="1:8" ht="22.5" customHeight="1" x14ac:dyDescent="0.25">
      <c r="A88" s="37"/>
      <c r="B88" s="75"/>
      <c r="C88" s="5" t="s">
        <v>26</v>
      </c>
      <c r="D88" s="5" t="s">
        <v>91</v>
      </c>
      <c r="E88" s="6">
        <f>E89</f>
        <v>866.4</v>
      </c>
      <c r="F88" s="6">
        <f>F89</f>
        <v>66.2</v>
      </c>
      <c r="G88" s="18" t="s">
        <v>282</v>
      </c>
      <c r="H88" s="21">
        <f>H89</f>
        <v>66.2</v>
      </c>
    </row>
    <row r="89" spans="1:8" ht="22.5" customHeight="1" x14ac:dyDescent="0.25">
      <c r="A89" s="37"/>
      <c r="B89" s="75"/>
      <c r="C89" s="7" t="s">
        <v>196</v>
      </c>
      <c r="D89" s="5" t="s">
        <v>616</v>
      </c>
      <c r="E89" s="6">
        <f>866.4</f>
        <v>866.4</v>
      </c>
      <c r="F89" s="6">
        <f>66.2</f>
        <v>66.2</v>
      </c>
      <c r="G89" s="18" t="s">
        <v>282</v>
      </c>
      <c r="H89" s="21">
        <f>66.2</f>
        <v>66.2</v>
      </c>
    </row>
    <row r="90" spans="1:8" ht="22.5" customHeight="1" x14ac:dyDescent="0.25">
      <c r="A90" s="37"/>
      <c r="B90" s="75"/>
      <c r="C90" s="5" t="s">
        <v>169</v>
      </c>
      <c r="D90" s="5" t="s">
        <v>52</v>
      </c>
      <c r="E90" s="6">
        <f>0</f>
        <v>0</v>
      </c>
      <c r="F90" s="6">
        <f>0</f>
        <v>0</v>
      </c>
      <c r="G90" s="18" t="s">
        <v>8</v>
      </c>
      <c r="H90" s="21">
        <f>0</f>
        <v>0</v>
      </c>
    </row>
    <row r="91" spans="1:8" ht="22.5" customHeight="1" x14ac:dyDescent="0.25">
      <c r="A91" s="37"/>
      <c r="B91" s="75"/>
      <c r="C91" s="5" t="s">
        <v>607</v>
      </c>
      <c r="D91" s="5" t="s">
        <v>608</v>
      </c>
      <c r="E91" s="6">
        <f>E92</f>
        <v>759.38</v>
      </c>
      <c r="F91" s="6">
        <f>F92</f>
        <v>0</v>
      </c>
      <c r="G91" s="18" t="s">
        <v>39</v>
      </c>
      <c r="H91" s="21">
        <f>H92</f>
        <v>0</v>
      </c>
    </row>
    <row r="92" spans="1:8" ht="22.5" customHeight="1" x14ac:dyDescent="0.25">
      <c r="A92" s="37"/>
      <c r="B92" s="75"/>
      <c r="C92" s="7" t="s">
        <v>610</v>
      </c>
      <c r="D92" s="5" t="s">
        <v>617</v>
      </c>
      <c r="E92" s="6">
        <f>9.38+562.5+187.5</f>
        <v>759.38</v>
      </c>
      <c r="F92" s="6">
        <f>0</f>
        <v>0</v>
      </c>
      <c r="G92" s="18" t="s">
        <v>39</v>
      </c>
      <c r="H92" s="21">
        <f>0</f>
        <v>0</v>
      </c>
    </row>
    <row r="93" spans="1:8" ht="22.5" customHeight="1" x14ac:dyDescent="0.25">
      <c r="A93" s="37"/>
      <c r="B93" s="75"/>
      <c r="C93" s="3" t="s">
        <v>25</v>
      </c>
      <c r="D93" s="3" t="s">
        <v>34</v>
      </c>
      <c r="E93" s="4">
        <f>E94</f>
        <v>31933.99</v>
      </c>
      <c r="F93" s="4">
        <f>F94</f>
        <v>6113.17</v>
      </c>
      <c r="G93" s="17" t="s">
        <v>318</v>
      </c>
      <c r="H93" s="20">
        <f>H94</f>
        <v>6113.17</v>
      </c>
    </row>
    <row r="94" spans="1:8" ht="22.5" customHeight="1" x14ac:dyDescent="0.25">
      <c r="A94" s="38"/>
      <c r="B94" s="76"/>
      <c r="C94" s="5" t="s">
        <v>19</v>
      </c>
      <c r="D94" s="5" t="s">
        <v>35</v>
      </c>
      <c r="E94" s="6">
        <f>E95+E96</f>
        <v>31933.99</v>
      </c>
      <c r="F94" s="6">
        <f>F95+F96</f>
        <v>6113.17</v>
      </c>
      <c r="G94" s="18" t="s">
        <v>318</v>
      </c>
      <c r="H94" s="21">
        <f>H95+H96</f>
        <v>6113.17</v>
      </c>
    </row>
    <row r="95" spans="1:8" ht="22.5" customHeight="1" x14ac:dyDescent="0.25">
      <c r="A95" s="38"/>
      <c r="B95" s="76"/>
      <c r="C95" s="7" t="s">
        <v>190</v>
      </c>
      <c r="D95" s="5" t="s">
        <v>62</v>
      </c>
      <c r="E95" s="6">
        <f>18301.54</f>
        <v>18301.54</v>
      </c>
      <c r="F95" s="6">
        <f>3878.83</f>
        <v>3878.83</v>
      </c>
      <c r="G95" s="18" t="s">
        <v>329</v>
      </c>
      <c r="H95" s="21">
        <f>3878.83</f>
        <v>3878.83</v>
      </c>
    </row>
    <row r="96" spans="1:8" ht="22.5" customHeight="1" x14ac:dyDescent="0.25">
      <c r="A96" s="38"/>
      <c r="B96" s="76"/>
      <c r="C96" s="7" t="s">
        <v>191</v>
      </c>
      <c r="D96" s="5" t="s">
        <v>618</v>
      </c>
      <c r="E96" s="6">
        <f>13632.45</f>
        <v>13632.45</v>
      </c>
      <c r="F96" s="6">
        <f>2234.34</f>
        <v>2234.34</v>
      </c>
      <c r="G96" s="18" t="s">
        <v>619</v>
      </c>
      <c r="H96" s="21">
        <f>2234.34</f>
        <v>2234.34</v>
      </c>
    </row>
    <row r="97" spans="1:8" ht="22.5" customHeight="1" thickBot="1" x14ac:dyDescent="0.3">
      <c r="A97" s="62" t="s">
        <v>16</v>
      </c>
      <c r="B97" s="63"/>
      <c r="C97" s="63"/>
      <c r="D97" s="64"/>
      <c r="E97" s="30">
        <f>E51+E80+E93</f>
        <v>2374831.0500000003</v>
      </c>
      <c r="F97" s="27">
        <f>F51+F80+F93</f>
        <v>379217.35</v>
      </c>
      <c r="G97" s="31" t="s">
        <v>319</v>
      </c>
      <c r="H97" s="29">
        <f>H51+H80+H93</f>
        <v>379217.35</v>
      </c>
    </row>
    <row r="98" spans="1:8" ht="22.5" customHeight="1" x14ac:dyDescent="0.25">
      <c r="A98" s="36">
        <v>4</v>
      </c>
      <c r="B98" s="35" t="s">
        <v>63</v>
      </c>
      <c r="C98" s="3" t="s">
        <v>6</v>
      </c>
      <c r="D98" s="3" t="s">
        <v>64</v>
      </c>
      <c r="E98" s="4">
        <f>E99+E105+E107</f>
        <v>12495</v>
      </c>
      <c r="F98" s="4">
        <f>F99+F105+F107</f>
        <v>2084.3448699999999</v>
      </c>
      <c r="G98" s="17" t="s">
        <v>287</v>
      </c>
      <c r="H98" s="22">
        <f>H99+H105+H107</f>
        <v>2084.3448699999999</v>
      </c>
    </row>
    <row r="99" spans="1:8" ht="22.5" customHeight="1" x14ac:dyDescent="0.25">
      <c r="A99" s="36"/>
      <c r="B99" s="35"/>
      <c r="C99" s="5" t="s">
        <v>356</v>
      </c>
      <c r="D99" s="5" t="s">
        <v>357</v>
      </c>
      <c r="E99" s="6">
        <f>E100</f>
        <v>4395</v>
      </c>
      <c r="F99" s="6">
        <f>F100</f>
        <v>364.57799999999997</v>
      </c>
      <c r="G99" s="18" t="s">
        <v>348</v>
      </c>
      <c r="H99" s="21">
        <f>H100</f>
        <v>364.57799999999997</v>
      </c>
    </row>
    <row r="100" spans="1:8" ht="22.5" customHeight="1" x14ac:dyDescent="0.25">
      <c r="A100" s="36"/>
      <c r="B100" s="35"/>
      <c r="C100" s="7" t="s">
        <v>358</v>
      </c>
      <c r="D100" s="5" t="s">
        <v>244</v>
      </c>
      <c r="E100" s="6">
        <f>E101+E102+E103+E104</f>
        <v>4395</v>
      </c>
      <c r="F100" s="6">
        <f>F101+F102+F103+F104</f>
        <v>364.57799999999997</v>
      </c>
      <c r="G100" s="18" t="s">
        <v>348</v>
      </c>
      <c r="H100" s="21">
        <f>H101+H102+H103+H104</f>
        <v>364.57799999999997</v>
      </c>
    </row>
    <row r="101" spans="1:8" ht="22.5" customHeight="1" x14ac:dyDescent="0.25">
      <c r="A101" s="36"/>
      <c r="B101" s="35"/>
      <c r="C101" s="7" t="s">
        <v>359</v>
      </c>
      <c r="D101" s="5" t="s">
        <v>297</v>
      </c>
      <c r="E101" s="6">
        <f>1000</f>
        <v>1000</v>
      </c>
      <c r="F101" s="6">
        <f>208.578</f>
        <v>208.578</v>
      </c>
      <c r="G101" s="18" t="s">
        <v>271</v>
      </c>
      <c r="H101" s="21">
        <f>208.578</f>
        <v>208.578</v>
      </c>
    </row>
    <row r="102" spans="1:8" ht="22.5" customHeight="1" x14ac:dyDescent="0.25">
      <c r="A102" s="36"/>
      <c r="B102" s="35"/>
      <c r="C102" s="7" t="s">
        <v>360</v>
      </c>
      <c r="D102" s="5" t="s">
        <v>67</v>
      </c>
      <c r="E102" s="6">
        <f>2000</f>
        <v>2000</v>
      </c>
      <c r="F102" s="6">
        <f>0</f>
        <v>0</v>
      </c>
      <c r="G102" s="18" t="s">
        <v>39</v>
      </c>
      <c r="H102" s="21">
        <f>0</f>
        <v>0</v>
      </c>
    </row>
    <row r="103" spans="1:8" ht="22.5" customHeight="1" x14ac:dyDescent="0.25">
      <c r="A103" s="36"/>
      <c r="B103" s="35"/>
      <c r="C103" s="7" t="s">
        <v>361</v>
      </c>
      <c r="D103" s="5" t="s">
        <v>68</v>
      </c>
      <c r="E103" s="6">
        <f>1000</f>
        <v>1000</v>
      </c>
      <c r="F103" s="6">
        <f>150</f>
        <v>150</v>
      </c>
      <c r="G103" s="18" t="s">
        <v>362</v>
      </c>
      <c r="H103" s="21">
        <f>150</f>
        <v>150</v>
      </c>
    </row>
    <row r="104" spans="1:8" ht="22.5" customHeight="1" x14ac:dyDescent="0.25">
      <c r="A104" s="36"/>
      <c r="B104" s="35"/>
      <c r="C104" s="7" t="s">
        <v>363</v>
      </c>
      <c r="D104" s="5" t="s">
        <v>69</v>
      </c>
      <c r="E104" s="6">
        <f>395</f>
        <v>395</v>
      </c>
      <c r="F104" s="6">
        <f>6</f>
        <v>6</v>
      </c>
      <c r="G104" s="18" t="s">
        <v>265</v>
      </c>
      <c r="H104" s="21">
        <f>6</f>
        <v>6</v>
      </c>
    </row>
    <row r="105" spans="1:8" ht="22.5" customHeight="1" x14ac:dyDescent="0.25">
      <c r="A105" s="36"/>
      <c r="B105" s="35"/>
      <c r="C105" s="5" t="s">
        <v>364</v>
      </c>
      <c r="D105" s="5" t="s">
        <v>65</v>
      </c>
      <c r="E105" s="6">
        <f>E106</f>
        <v>8100</v>
      </c>
      <c r="F105" s="6">
        <f>F106</f>
        <v>1719.7668699999999</v>
      </c>
      <c r="G105" s="18" t="s">
        <v>329</v>
      </c>
      <c r="H105" s="21">
        <f>H106</f>
        <v>1719.7668699999999</v>
      </c>
    </row>
    <row r="106" spans="1:8" ht="22.5" customHeight="1" x14ac:dyDescent="0.25">
      <c r="A106" s="36"/>
      <c r="B106" s="35"/>
      <c r="C106" s="7" t="s">
        <v>365</v>
      </c>
      <c r="D106" s="5" t="s">
        <v>66</v>
      </c>
      <c r="E106" s="6">
        <f>8100</f>
        <v>8100</v>
      </c>
      <c r="F106" s="6">
        <f>1719.76687</f>
        <v>1719.7668699999999</v>
      </c>
      <c r="G106" s="18" t="s">
        <v>329</v>
      </c>
      <c r="H106" s="21">
        <f>1719.76687</f>
        <v>1719.7668699999999</v>
      </c>
    </row>
    <row r="107" spans="1:8" ht="22.5" customHeight="1" x14ac:dyDescent="0.25">
      <c r="A107" s="36"/>
      <c r="B107" s="35"/>
      <c r="C107" s="5" t="s">
        <v>298</v>
      </c>
      <c r="D107" s="5" t="s">
        <v>366</v>
      </c>
      <c r="E107" s="6">
        <f>0</f>
        <v>0</v>
      </c>
      <c r="F107" s="6">
        <f>0</f>
        <v>0</v>
      </c>
      <c r="G107" s="18" t="s">
        <v>8</v>
      </c>
      <c r="H107" s="21">
        <f>0</f>
        <v>0</v>
      </c>
    </row>
    <row r="108" spans="1:8" ht="22.5" customHeight="1" x14ac:dyDescent="0.25">
      <c r="A108" s="36"/>
      <c r="B108" s="35"/>
      <c r="C108" s="3" t="s">
        <v>18</v>
      </c>
      <c r="D108" s="3" t="s">
        <v>70</v>
      </c>
      <c r="E108" s="4">
        <f>E109</f>
        <v>23642.41</v>
      </c>
      <c r="F108" s="4">
        <f>F109</f>
        <v>0</v>
      </c>
      <c r="G108" s="17" t="s">
        <v>39</v>
      </c>
      <c r="H108" s="20">
        <f>H109</f>
        <v>0</v>
      </c>
    </row>
    <row r="109" spans="1:8" ht="22.5" customHeight="1" x14ac:dyDescent="0.25">
      <c r="A109" s="36"/>
      <c r="B109" s="35"/>
      <c r="C109" s="5" t="s">
        <v>9</v>
      </c>
      <c r="D109" s="5" t="s">
        <v>71</v>
      </c>
      <c r="E109" s="6">
        <f>E110+E111</f>
        <v>23642.41</v>
      </c>
      <c r="F109" s="6">
        <f>F110+F111</f>
        <v>0</v>
      </c>
      <c r="G109" s="18" t="s">
        <v>39</v>
      </c>
      <c r="H109" s="21">
        <f>H110+H111</f>
        <v>0</v>
      </c>
    </row>
    <row r="110" spans="1:8" ht="22.5" customHeight="1" x14ac:dyDescent="0.25">
      <c r="A110" s="36"/>
      <c r="B110" s="35"/>
      <c r="C110" s="7" t="s">
        <v>188</v>
      </c>
      <c r="D110" s="5" t="s">
        <v>71</v>
      </c>
      <c r="E110" s="6">
        <f>13824.61+4912+4905.8</f>
        <v>23642.41</v>
      </c>
      <c r="F110" s="6">
        <f>0</f>
        <v>0</v>
      </c>
      <c r="G110" s="18" t="s">
        <v>39</v>
      </c>
      <c r="H110" s="21">
        <f>0</f>
        <v>0</v>
      </c>
    </row>
    <row r="111" spans="1:8" ht="22.5" customHeight="1" x14ac:dyDescent="0.25">
      <c r="A111" s="36"/>
      <c r="B111" s="35"/>
      <c r="C111" s="7" t="s">
        <v>214</v>
      </c>
      <c r="D111" s="5" t="s">
        <v>367</v>
      </c>
      <c r="E111" s="6">
        <f>0</f>
        <v>0</v>
      </c>
      <c r="F111" s="6">
        <f>0</f>
        <v>0</v>
      </c>
      <c r="G111" s="18" t="s">
        <v>8</v>
      </c>
      <c r="H111" s="21">
        <f>0</f>
        <v>0</v>
      </c>
    </row>
    <row r="112" spans="1:8" ht="22.5" customHeight="1" x14ac:dyDescent="0.25">
      <c r="A112" s="36"/>
      <c r="B112" s="35"/>
      <c r="C112" s="3" t="s">
        <v>25</v>
      </c>
      <c r="D112" s="3" t="s">
        <v>368</v>
      </c>
      <c r="E112" s="4">
        <f>E113</f>
        <v>0</v>
      </c>
      <c r="F112" s="4">
        <f>F113</f>
        <v>0</v>
      </c>
      <c r="G112" s="17" t="s">
        <v>8</v>
      </c>
      <c r="H112" s="20">
        <f>H113</f>
        <v>0</v>
      </c>
    </row>
    <row r="113" spans="1:8" ht="22.5" customHeight="1" x14ac:dyDescent="0.25">
      <c r="A113" s="36"/>
      <c r="B113" s="35"/>
      <c r="C113" s="5" t="s">
        <v>9</v>
      </c>
      <c r="D113" s="5" t="s">
        <v>72</v>
      </c>
      <c r="E113" s="6">
        <f>0</f>
        <v>0</v>
      </c>
      <c r="F113" s="6">
        <f>0</f>
        <v>0</v>
      </c>
      <c r="G113" s="18" t="s">
        <v>8</v>
      </c>
      <c r="H113" s="21">
        <f>0</f>
        <v>0</v>
      </c>
    </row>
    <row r="114" spans="1:8" ht="22.5" customHeight="1" x14ac:dyDescent="0.25">
      <c r="A114" s="36"/>
      <c r="B114" s="35"/>
      <c r="C114" s="3" t="s">
        <v>11</v>
      </c>
      <c r="D114" s="3" t="s">
        <v>34</v>
      </c>
      <c r="E114" s="4">
        <f>E115</f>
        <v>4650</v>
      </c>
      <c r="F114" s="4">
        <f>F115</f>
        <v>756.43</v>
      </c>
      <c r="G114" s="17" t="s">
        <v>273</v>
      </c>
      <c r="H114" s="20">
        <f>H115</f>
        <v>756.43</v>
      </c>
    </row>
    <row r="115" spans="1:8" ht="22.5" customHeight="1" x14ac:dyDescent="0.25">
      <c r="A115" s="36"/>
      <c r="B115" s="35"/>
      <c r="C115" s="5" t="s">
        <v>9</v>
      </c>
      <c r="D115" s="5" t="s">
        <v>369</v>
      </c>
      <c r="E115" s="6">
        <f>E116</f>
        <v>4650</v>
      </c>
      <c r="F115" s="6">
        <f>F116</f>
        <v>756.43</v>
      </c>
      <c r="G115" s="18" t="s">
        <v>273</v>
      </c>
      <c r="H115" s="21">
        <f>H116</f>
        <v>756.43</v>
      </c>
    </row>
    <row r="116" spans="1:8" ht="22.5" customHeight="1" x14ac:dyDescent="0.25">
      <c r="A116" s="36"/>
      <c r="B116" s="35"/>
      <c r="C116" s="7" t="s">
        <v>189</v>
      </c>
      <c r="D116" s="5" t="s">
        <v>299</v>
      </c>
      <c r="E116" s="6">
        <f>4650</f>
        <v>4650</v>
      </c>
      <c r="F116" s="6">
        <f>756.43</f>
        <v>756.43</v>
      </c>
      <c r="G116" s="18" t="s">
        <v>273</v>
      </c>
      <c r="H116" s="21">
        <f>756.43</f>
        <v>756.43</v>
      </c>
    </row>
    <row r="117" spans="1:8" ht="22.5" customHeight="1" x14ac:dyDescent="0.25">
      <c r="A117" s="36"/>
      <c r="B117" s="35"/>
      <c r="C117" s="3" t="s">
        <v>93</v>
      </c>
      <c r="D117" s="3" t="s">
        <v>73</v>
      </c>
      <c r="E117" s="4">
        <f>E118+E119</f>
        <v>0</v>
      </c>
      <c r="F117" s="4">
        <f>F118+F119</f>
        <v>0</v>
      </c>
      <c r="G117" s="17" t="s">
        <v>8</v>
      </c>
      <c r="H117" s="20">
        <f>H118+H119</f>
        <v>0</v>
      </c>
    </row>
    <row r="118" spans="1:8" ht="22.5" customHeight="1" x14ac:dyDescent="0.25">
      <c r="A118" s="36"/>
      <c r="B118" s="35"/>
      <c r="C118" s="5" t="s">
        <v>19</v>
      </c>
      <c r="D118" s="5" t="s">
        <v>370</v>
      </c>
      <c r="E118" s="6">
        <f>0</f>
        <v>0</v>
      </c>
      <c r="F118" s="6">
        <f>0</f>
        <v>0</v>
      </c>
      <c r="G118" s="18" t="s">
        <v>8</v>
      </c>
      <c r="H118" s="21">
        <f>0</f>
        <v>0</v>
      </c>
    </row>
    <row r="119" spans="1:8" ht="22.5" customHeight="1" x14ac:dyDescent="0.25">
      <c r="A119" s="36"/>
      <c r="B119" s="35"/>
      <c r="C119" s="5" t="s">
        <v>31</v>
      </c>
      <c r="D119" s="5" t="s">
        <v>74</v>
      </c>
      <c r="E119" s="6">
        <f>0</f>
        <v>0</v>
      </c>
      <c r="F119" s="6">
        <f>0</f>
        <v>0</v>
      </c>
      <c r="G119" s="18" t="s">
        <v>8</v>
      </c>
      <c r="H119" s="21">
        <f>0</f>
        <v>0</v>
      </c>
    </row>
    <row r="120" spans="1:8" ht="22.5" customHeight="1" x14ac:dyDescent="0.25">
      <c r="A120" s="36"/>
      <c r="B120" s="35"/>
      <c r="C120" s="3" t="s">
        <v>30</v>
      </c>
      <c r="D120" s="3" t="s">
        <v>371</v>
      </c>
      <c r="E120" s="4">
        <f>E121</f>
        <v>100</v>
      </c>
      <c r="F120" s="4">
        <f>F121</f>
        <v>0</v>
      </c>
      <c r="G120" s="17" t="s">
        <v>39</v>
      </c>
      <c r="H120" s="20">
        <f>H121</f>
        <v>0</v>
      </c>
    </row>
    <row r="121" spans="1:8" ht="22.5" customHeight="1" x14ac:dyDescent="0.25">
      <c r="A121" s="36"/>
      <c r="B121" s="35"/>
      <c r="C121" s="5" t="s">
        <v>19</v>
      </c>
      <c r="D121" s="5" t="s">
        <v>372</v>
      </c>
      <c r="E121" s="6">
        <f>E122</f>
        <v>100</v>
      </c>
      <c r="F121" s="6">
        <f>F122</f>
        <v>0</v>
      </c>
      <c r="G121" s="18" t="s">
        <v>39</v>
      </c>
      <c r="H121" s="21">
        <f>H122</f>
        <v>0</v>
      </c>
    </row>
    <row r="122" spans="1:8" ht="22.5" customHeight="1" x14ac:dyDescent="0.25">
      <c r="A122" s="36"/>
      <c r="B122" s="35"/>
      <c r="C122" s="7" t="s">
        <v>190</v>
      </c>
      <c r="D122" s="5" t="s">
        <v>373</v>
      </c>
      <c r="E122" s="6">
        <f>100</f>
        <v>100</v>
      </c>
      <c r="F122" s="6">
        <f>0</f>
        <v>0</v>
      </c>
      <c r="G122" s="18" t="s">
        <v>39</v>
      </c>
      <c r="H122" s="21">
        <f>0</f>
        <v>0</v>
      </c>
    </row>
    <row r="123" spans="1:8" ht="22.5" customHeight="1" thickBot="1" x14ac:dyDescent="0.3">
      <c r="A123" s="33" t="s">
        <v>16</v>
      </c>
      <c r="B123" s="34"/>
      <c r="C123" s="34"/>
      <c r="D123" s="34"/>
      <c r="E123" s="30">
        <f>E98+E108+E112+E114+E117+E120</f>
        <v>40887.410000000003</v>
      </c>
      <c r="F123" s="27">
        <f>F98+F108+F112+F114+F117+F120</f>
        <v>2840.7748699999997</v>
      </c>
      <c r="G123" s="28" t="s">
        <v>374</v>
      </c>
      <c r="H123" s="29">
        <f>H98+H108+H112+H114+H117+H120</f>
        <v>2840.7748699999997</v>
      </c>
    </row>
    <row r="124" spans="1:8" ht="22.5" customHeight="1" x14ac:dyDescent="0.25">
      <c r="A124" s="45">
        <v>5</v>
      </c>
      <c r="B124" s="47" t="s">
        <v>75</v>
      </c>
      <c r="C124" s="3" t="s">
        <v>6</v>
      </c>
      <c r="D124" s="3" t="s">
        <v>76</v>
      </c>
      <c r="E124" s="4">
        <f>E125+E130+E133</f>
        <v>50997.490000000005</v>
      </c>
      <c r="F124" s="4">
        <f>F125+F130+F133</f>
        <v>10341.886</v>
      </c>
      <c r="G124" s="17" t="s">
        <v>301</v>
      </c>
      <c r="H124" s="22">
        <f>H125+H130+H133</f>
        <v>10341.886</v>
      </c>
    </row>
    <row r="125" spans="1:8" ht="22.5" customHeight="1" x14ac:dyDescent="0.25">
      <c r="A125" s="46"/>
      <c r="B125" s="40"/>
      <c r="C125" s="5" t="s">
        <v>19</v>
      </c>
      <c r="D125" s="5" t="s">
        <v>77</v>
      </c>
      <c r="E125" s="6">
        <f>E126+E127+E128+E129</f>
        <v>30413.79</v>
      </c>
      <c r="F125" s="6">
        <f>F126+F127+F128+F129</f>
        <v>5693.1900000000005</v>
      </c>
      <c r="G125" s="18" t="s">
        <v>268</v>
      </c>
      <c r="H125" s="21">
        <f>H126+H127+H128+H129</f>
        <v>5693.1900000000005</v>
      </c>
    </row>
    <row r="126" spans="1:8" ht="22.5" customHeight="1" x14ac:dyDescent="0.25">
      <c r="A126" s="46"/>
      <c r="B126" s="40"/>
      <c r="C126" s="7" t="s">
        <v>190</v>
      </c>
      <c r="D126" s="5" t="s">
        <v>215</v>
      </c>
      <c r="E126" s="6">
        <f>7850.71</f>
        <v>7850.71</v>
      </c>
      <c r="F126" s="6">
        <f>1245.17</f>
        <v>1245.17</v>
      </c>
      <c r="G126" s="18" t="s">
        <v>375</v>
      </c>
      <c r="H126" s="21">
        <f>1245.17</f>
        <v>1245.17</v>
      </c>
    </row>
    <row r="127" spans="1:8" ht="22.5" customHeight="1" x14ac:dyDescent="0.25">
      <c r="A127" s="46"/>
      <c r="B127" s="40"/>
      <c r="C127" s="7" t="s">
        <v>191</v>
      </c>
      <c r="D127" s="5" t="s">
        <v>376</v>
      </c>
      <c r="E127" s="6">
        <f>0</f>
        <v>0</v>
      </c>
      <c r="F127" s="6">
        <f>0</f>
        <v>0</v>
      </c>
      <c r="G127" s="18" t="s">
        <v>8</v>
      </c>
      <c r="H127" s="21">
        <f>0</f>
        <v>0</v>
      </c>
    </row>
    <row r="128" spans="1:8" ht="22.5" customHeight="1" x14ac:dyDescent="0.25">
      <c r="A128" s="46"/>
      <c r="B128" s="40"/>
      <c r="C128" s="7" t="s">
        <v>199</v>
      </c>
      <c r="D128" s="5" t="s">
        <v>245</v>
      </c>
      <c r="E128" s="6">
        <f>430</f>
        <v>430</v>
      </c>
      <c r="F128" s="6">
        <f>0</f>
        <v>0</v>
      </c>
      <c r="G128" s="18" t="s">
        <v>39</v>
      </c>
      <c r="H128" s="21">
        <f>0</f>
        <v>0</v>
      </c>
    </row>
    <row r="129" spans="1:8" ht="22.5" customHeight="1" x14ac:dyDescent="0.25">
      <c r="A129" s="46"/>
      <c r="B129" s="40"/>
      <c r="C129" s="7" t="s">
        <v>194</v>
      </c>
      <c r="D129" s="5" t="s">
        <v>377</v>
      </c>
      <c r="E129" s="6">
        <f>22133.08</f>
        <v>22133.08</v>
      </c>
      <c r="F129" s="6">
        <f>4448.02</f>
        <v>4448.0200000000004</v>
      </c>
      <c r="G129" s="18" t="s">
        <v>288</v>
      </c>
      <c r="H129" s="21">
        <f>4448.02</f>
        <v>4448.0200000000004</v>
      </c>
    </row>
    <row r="130" spans="1:8" ht="22.5" customHeight="1" x14ac:dyDescent="0.25">
      <c r="A130" s="46"/>
      <c r="B130" s="40"/>
      <c r="C130" s="5" t="s">
        <v>9</v>
      </c>
      <c r="D130" s="5" t="s">
        <v>378</v>
      </c>
      <c r="E130" s="6">
        <f>E131+E132</f>
        <v>583.70000000000005</v>
      </c>
      <c r="F130" s="6">
        <f>F131+F132</f>
        <v>28.696000000000002</v>
      </c>
      <c r="G130" s="18" t="s">
        <v>310</v>
      </c>
      <c r="H130" s="21">
        <f>H131+H132</f>
        <v>28.696000000000002</v>
      </c>
    </row>
    <row r="131" spans="1:8" ht="22.5" customHeight="1" x14ac:dyDescent="0.25">
      <c r="A131" s="46"/>
      <c r="B131" s="40"/>
      <c r="C131" s="7" t="s">
        <v>188</v>
      </c>
      <c r="D131" s="5" t="s">
        <v>379</v>
      </c>
      <c r="E131" s="6">
        <f>0</f>
        <v>0</v>
      </c>
      <c r="F131" s="6">
        <f>0</f>
        <v>0</v>
      </c>
      <c r="G131" s="18" t="s">
        <v>8</v>
      </c>
      <c r="H131" s="21">
        <f>0</f>
        <v>0</v>
      </c>
    </row>
    <row r="132" spans="1:8" ht="22.5" customHeight="1" x14ac:dyDescent="0.25">
      <c r="A132" s="46"/>
      <c r="B132" s="40"/>
      <c r="C132" s="7" t="s">
        <v>214</v>
      </c>
      <c r="D132" s="5" t="s">
        <v>380</v>
      </c>
      <c r="E132" s="6">
        <f>583.7</f>
        <v>583.70000000000005</v>
      </c>
      <c r="F132" s="6">
        <f>28.696</f>
        <v>28.696000000000002</v>
      </c>
      <c r="G132" s="18" t="s">
        <v>310</v>
      </c>
      <c r="H132" s="21">
        <f>28.696</f>
        <v>28.696000000000002</v>
      </c>
    </row>
    <row r="133" spans="1:8" ht="22.5" customHeight="1" x14ac:dyDescent="0.25">
      <c r="A133" s="46"/>
      <c r="B133" s="40"/>
      <c r="C133" s="5" t="s">
        <v>60</v>
      </c>
      <c r="D133" s="5" t="s">
        <v>381</v>
      </c>
      <c r="E133" s="6">
        <f>E134</f>
        <v>20000</v>
      </c>
      <c r="F133" s="6">
        <f>F134</f>
        <v>4620</v>
      </c>
      <c r="G133" s="18" t="s">
        <v>382</v>
      </c>
      <c r="H133" s="21">
        <f>H134</f>
        <v>4620</v>
      </c>
    </row>
    <row r="134" spans="1:8" ht="22.5" customHeight="1" x14ac:dyDescent="0.25">
      <c r="A134" s="46"/>
      <c r="B134" s="40"/>
      <c r="C134" s="7" t="s">
        <v>276</v>
      </c>
      <c r="D134" s="5" t="s">
        <v>383</v>
      </c>
      <c r="E134" s="6">
        <f>4620+15380</f>
        <v>20000</v>
      </c>
      <c r="F134" s="6">
        <f>4620</f>
        <v>4620</v>
      </c>
      <c r="G134" s="18" t="s">
        <v>382</v>
      </c>
      <c r="H134" s="21">
        <f>4620</f>
        <v>4620</v>
      </c>
    </row>
    <row r="135" spans="1:8" ht="22.5" customHeight="1" x14ac:dyDescent="0.25">
      <c r="A135" s="46"/>
      <c r="B135" s="40"/>
      <c r="C135" s="3" t="s">
        <v>18</v>
      </c>
      <c r="D135" s="3" t="s">
        <v>78</v>
      </c>
      <c r="E135" s="4">
        <f>E136</f>
        <v>100533.35</v>
      </c>
      <c r="F135" s="4">
        <f>F136</f>
        <v>24203.5</v>
      </c>
      <c r="G135" s="17" t="s">
        <v>302</v>
      </c>
      <c r="H135" s="20">
        <f>H136</f>
        <v>24203.5</v>
      </c>
    </row>
    <row r="136" spans="1:8" ht="22.5" customHeight="1" x14ac:dyDescent="0.25">
      <c r="A136" s="46"/>
      <c r="B136" s="40"/>
      <c r="C136" s="5" t="s">
        <v>19</v>
      </c>
      <c r="D136" s="5" t="s">
        <v>384</v>
      </c>
      <c r="E136" s="6">
        <f>E137+E138</f>
        <v>100533.35</v>
      </c>
      <c r="F136" s="6">
        <f>F137+F138</f>
        <v>24203.5</v>
      </c>
      <c r="G136" s="18" t="s">
        <v>302</v>
      </c>
      <c r="H136" s="21">
        <f>H137+H138</f>
        <v>24203.5</v>
      </c>
    </row>
    <row r="137" spans="1:8" ht="22.5" customHeight="1" x14ac:dyDescent="0.25">
      <c r="A137" s="46"/>
      <c r="B137" s="40"/>
      <c r="C137" s="7" t="s">
        <v>190</v>
      </c>
      <c r="D137" s="5" t="s">
        <v>385</v>
      </c>
      <c r="E137" s="6">
        <f>88170.85</f>
        <v>88170.85</v>
      </c>
      <c r="F137" s="6">
        <f>21703.92</f>
        <v>21703.919999999998</v>
      </c>
      <c r="G137" s="18" t="s">
        <v>386</v>
      </c>
      <c r="H137" s="21">
        <f>21703.92</f>
        <v>21703.919999999998</v>
      </c>
    </row>
    <row r="138" spans="1:8" ht="22.5" customHeight="1" x14ac:dyDescent="0.25">
      <c r="A138" s="46"/>
      <c r="B138" s="40"/>
      <c r="C138" s="7" t="s">
        <v>191</v>
      </c>
      <c r="D138" s="5" t="s">
        <v>387</v>
      </c>
      <c r="E138" s="6">
        <f>12362.5</f>
        <v>12362.5</v>
      </c>
      <c r="F138" s="6">
        <f>2499.58</f>
        <v>2499.58</v>
      </c>
      <c r="G138" s="18" t="s">
        <v>388</v>
      </c>
      <c r="H138" s="21">
        <f>2499.58</f>
        <v>2499.58</v>
      </c>
    </row>
    <row r="139" spans="1:8" ht="22.5" customHeight="1" x14ac:dyDescent="0.25">
      <c r="A139" s="46"/>
      <c r="B139" s="40"/>
      <c r="C139" s="3" t="s">
        <v>22</v>
      </c>
      <c r="D139" s="3" t="s">
        <v>34</v>
      </c>
      <c r="E139" s="4">
        <f>E140</f>
        <v>5846.27</v>
      </c>
      <c r="F139" s="4">
        <f>F140</f>
        <v>1236.93</v>
      </c>
      <c r="G139" s="17" t="s">
        <v>266</v>
      </c>
      <c r="H139" s="20">
        <f>H140</f>
        <v>1236.93</v>
      </c>
    </row>
    <row r="140" spans="1:8" ht="22.5" customHeight="1" x14ac:dyDescent="0.25">
      <c r="A140" s="46"/>
      <c r="B140" s="40"/>
      <c r="C140" s="5" t="s">
        <v>19</v>
      </c>
      <c r="D140" s="5" t="s">
        <v>35</v>
      </c>
      <c r="E140" s="6">
        <f>E141</f>
        <v>5846.27</v>
      </c>
      <c r="F140" s="6">
        <f>F141</f>
        <v>1236.93</v>
      </c>
      <c r="G140" s="18" t="s">
        <v>266</v>
      </c>
      <c r="H140" s="21">
        <f>H141</f>
        <v>1236.93</v>
      </c>
    </row>
    <row r="141" spans="1:8" ht="22.5" customHeight="1" x14ac:dyDescent="0.25">
      <c r="A141" s="46"/>
      <c r="B141" s="40"/>
      <c r="C141" s="7" t="s">
        <v>190</v>
      </c>
      <c r="D141" s="5" t="s">
        <v>216</v>
      </c>
      <c r="E141" s="6">
        <f>5846.27</f>
        <v>5846.27</v>
      </c>
      <c r="F141" s="6">
        <f>1236.93</f>
        <v>1236.93</v>
      </c>
      <c r="G141" s="18" t="s">
        <v>266</v>
      </c>
      <c r="H141" s="21">
        <f>1236.93</f>
        <v>1236.93</v>
      </c>
    </row>
    <row r="142" spans="1:8" ht="22.5" customHeight="1" thickBot="1" x14ac:dyDescent="0.3">
      <c r="A142" s="33" t="s">
        <v>16</v>
      </c>
      <c r="B142" s="34"/>
      <c r="C142" s="34"/>
      <c r="D142" s="34"/>
      <c r="E142" s="30">
        <f>E124+E135+E139</f>
        <v>157377.11000000002</v>
      </c>
      <c r="F142" s="27">
        <f>F124+F135+F139</f>
        <v>35782.315999999999</v>
      </c>
      <c r="G142" s="31" t="s">
        <v>389</v>
      </c>
      <c r="H142" s="29">
        <f>H124+H135+H139</f>
        <v>35782.315999999999</v>
      </c>
    </row>
    <row r="143" spans="1:8" ht="22.5" customHeight="1" x14ac:dyDescent="0.25">
      <c r="A143" s="59">
        <v>6</v>
      </c>
      <c r="B143" s="60" t="s">
        <v>79</v>
      </c>
      <c r="C143" s="3" t="s">
        <v>18</v>
      </c>
      <c r="D143" s="3" t="s">
        <v>390</v>
      </c>
      <c r="E143" s="4">
        <f>E144</f>
        <v>100</v>
      </c>
      <c r="F143" s="4">
        <f>F144</f>
        <v>0</v>
      </c>
      <c r="G143" s="17" t="s">
        <v>39</v>
      </c>
      <c r="H143" s="22">
        <f>H144</f>
        <v>0</v>
      </c>
    </row>
    <row r="144" spans="1:8" ht="22.5" customHeight="1" x14ac:dyDescent="0.25">
      <c r="A144" s="36"/>
      <c r="B144" s="61"/>
      <c r="C144" s="5" t="s">
        <v>19</v>
      </c>
      <c r="D144" s="5" t="s">
        <v>314</v>
      </c>
      <c r="E144" s="6">
        <f>E145</f>
        <v>100</v>
      </c>
      <c r="F144" s="6">
        <f>F145</f>
        <v>0</v>
      </c>
      <c r="G144" s="18" t="s">
        <v>39</v>
      </c>
      <c r="H144" s="21">
        <f>H145</f>
        <v>0</v>
      </c>
    </row>
    <row r="145" spans="1:8" ht="22.5" customHeight="1" x14ac:dyDescent="0.25">
      <c r="A145" s="36"/>
      <c r="B145" s="61"/>
      <c r="C145" s="7" t="s">
        <v>191</v>
      </c>
      <c r="D145" s="5" t="s">
        <v>217</v>
      </c>
      <c r="E145" s="6">
        <f>100</f>
        <v>100</v>
      </c>
      <c r="F145" s="6">
        <f>0</f>
        <v>0</v>
      </c>
      <c r="G145" s="18" t="s">
        <v>39</v>
      </c>
      <c r="H145" s="21">
        <f>0</f>
        <v>0</v>
      </c>
    </row>
    <row r="146" spans="1:8" ht="22.5" customHeight="1" x14ac:dyDescent="0.25">
      <c r="A146" s="36"/>
      <c r="B146" s="61"/>
      <c r="C146" s="3" t="s">
        <v>25</v>
      </c>
      <c r="D146" s="3" t="s">
        <v>391</v>
      </c>
      <c r="E146" s="4">
        <f>E147</f>
        <v>724</v>
      </c>
      <c r="F146" s="4">
        <f>F147</f>
        <v>73.78</v>
      </c>
      <c r="G146" s="17" t="s">
        <v>392</v>
      </c>
      <c r="H146" s="20">
        <f>H147</f>
        <v>73.78</v>
      </c>
    </row>
    <row r="147" spans="1:8" ht="22.5" customHeight="1" x14ac:dyDescent="0.25">
      <c r="A147" s="36"/>
      <c r="B147" s="61"/>
      <c r="C147" s="5" t="s">
        <v>19</v>
      </c>
      <c r="D147" s="5" t="s">
        <v>393</v>
      </c>
      <c r="E147" s="6">
        <f>E148</f>
        <v>724</v>
      </c>
      <c r="F147" s="6">
        <f>F148</f>
        <v>73.78</v>
      </c>
      <c r="G147" s="18" t="s">
        <v>392</v>
      </c>
      <c r="H147" s="21">
        <f>H148</f>
        <v>73.78</v>
      </c>
    </row>
    <row r="148" spans="1:8" ht="22.5" customHeight="1" x14ac:dyDescent="0.25">
      <c r="A148" s="36"/>
      <c r="B148" s="61"/>
      <c r="C148" s="7" t="s">
        <v>190</v>
      </c>
      <c r="D148" s="5" t="s">
        <v>315</v>
      </c>
      <c r="E148" s="6">
        <f>724</f>
        <v>724</v>
      </c>
      <c r="F148" s="6">
        <f>73.78</f>
        <v>73.78</v>
      </c>
      <c r="G148" s="18" t="s">
        <v>392</v>
      </c>
      <c r="H148" s="21">
        <f>73.78</f>
        <v>73.78</v>
      </c>
    </row>
    <row r="149" spans="1:8" ht="22.5" customHeight="1" thickBot="1" x14ac:dyDescent="0.3">
      <c r="A149" s="48" t="s">
        <v>16</v>
      </c>
      <c r="B149" s="49"/>
      <c r="C149" s="49"/>
      <c r="D149" s="49"/>
      <c r="E149" s="30">
        <f>E143+E146</f>
        <v>824</v>
      </c>
      <c r="F149" s="27">
        <f>F143+F146</f>
        <v>73.78</v>
      </c>
      <c r="G149" s="28" t="s">
        <v>394</v>
      </c>
      <c r="H149" s="29">
        <f>H143+H146</f>
        <v>73.78</v>
      </c>
    </row>
    <row r="150" spans="1:8" ht="22.5" customHeight="1" x14ac:dyDescent="0.25">
      <c r="A150" s="44">
        <v>7</v>
      </c>
      <c r="B150" s="35" t="s">
        <v>80</v>
      </c>
      <c r="C150" s="3" t="s">
        <v>6</v>
      </c>
      <c r="D150" s="3" t="s">
        <v>175</v>
      </c>
      <c r="E150" s="25">
        <f>E151+E155</f>
        <v>300</v>
      </c>
      <c r="F150" s="25">
        <f>F151+F155</f>
        <v>0</v>
      </c>
      <c r="G150" s="26" t="s">
        <v>39</v>
      </c>
      <c r="H150" s="22">
        <v>0</v>
      </c>
    </row>
    <row r="151" spans="1:8" ht="22.5" customHeight="1" x14ac:dyDescent="0.25">
      <c r="A151" s="44"/>
      <c r="B151" s="35"/>
      <c r="C151" s="5" t="s">
        <v>19</v>
      </c>
      <c r="D151" s="5" t="s">
        <v>176</v>
      </c>
      <c r="E151" s="6">
        <f>E152</f>
        <v>250</v>
      </c>
      <c r="F151" s="6">
        <f>F152</f>
        <v>0</v>
      </c>
      <c r="G151" s="18" t="s">
        <v>39</v>
      </c>
      <c r="H151" s="21">
        <v>0</v>
      </c>
    </row>
    <row r="152" spans="1:8" ht="22.5" customHeight="1" x14ac:dyDescent="0.25">
      <c r="A152" s="44"/>
      <c r="B152" s="35"/>
      <c r="C152" s="7" t="s">
        <v>199</v>
      </c>
      <c r="D152" s="5" t="s">
        <v>395</v>
      </c>
      <c r="E152" s="6">
        <f>E153+E154</f>
        <v>250</v>
      </c>
      <c r="F152" s="6">
        <f>F153+F154</f>
        <v>0</v>
      </c>
      <c r="G152" s="18" t="s">
        <v>39</v>
      </c>
      <c r="H152" s="21">
        <v>0</v>
      </c>
    </row>
    <row r="153" spans="1:8" ht="22.5" customHeight="1" x14ac:dyDescent="0.25">
      <c r="A153" s="44"/>
      <c r="B153" s="35"/>
      <c r="C153" s="7" t="s">
        <v>220</v>
      </c>
      <c r="D153" s="5" t="s">
        <v>396</v>
      </c>
      <c r="E153" s="6">
        <f>150</f>
        <v>150</v>
      </c>
      <c r="F153" s="6">
        <f>0</f>
        <v>0</v>
      </c>
      <c r="G153" s="18" t="s">
        <v>39</v>
      </c>
      <c r="H153" s="21">
        <v>0</v>
      </c>
    </row>
    <row r="154" spans="1:8" ht="22.5" customHeight="1" x14ac:dyDescent="0.25">
      <c r="A154" s="44"/>
      <c r="B154" s="35"/>
      <c r="C154" s="7" t="s">
        <v>221</v>
      </c>
      <c r="D154" s="5" t="s">
        <v>397</v>
      </c>
      <c r="E154" s="6">
        <f>100</f>
        <v>100</v>
      </c>
      <c r="F154" s="6">
        <f>0</f>
        <v>0</v>
      </c>
      <c r="G154" s="18" t="s">
        <v>39</v>
      </c>
      <c r="H154" s="21">
        <v>0</v>
      </c>
    </row>
    <row r="155" spans="1:8" ht="22.5" customHeight="1" x14ac:dyDescent="0.25">
      <c r="A155" s="44"/>
      <c r="B155" s="35"/>
      <c r="C155" s="5" t="s">
        <v>9</v>
      </c>
      <c r="D155" s="5" t="s">
        <v>177</v>
      </c>
      <c r="E155" s="6">
        <f>E156</f>
        <v>50</v>
      </c>
      <c r="F155" s="6">
        <f>F156</f>
        <v>0</v>
      </c>
      <c r="G155" s="18" t="s">
        <v>39</v>
      </c>
      <c r="H155" s="21">
        <v>0</v>
      </c>
    </row>
    <row r="156" spans="1:8" ht="22.5" customHeight="1" x14ac:dyDescent="0.25">
      <c r="A156" s="44"/>
      <c r="B156" s="35"/>
      <c r="C156" s="7" t="s">
        <v>188</v>
      </c>
      <c r="D156" s="5" t="s">
        <v>398</v>
      </c>
      <c r="E156" s="6">
        <f>50</f>
        <v>50</v>
      </c>
      <c r="F156" s="6">
        <f>0</f>
        <v>0</v>
      </c>
      <c r="G156" s="18" t="s">
        <v>39</v>
      </c>
      <c r="H156" s="21">
        <v>0</v>
      </c>
    </row>
    <row r="157" spans="1:8" ht="22.5" customHeight="1" x14ac:dyDescent="0.25">
      <c r="A157" s="44"/>
      <c r="B157" s="35"/>
      <c r="C157" s="3" t="s">
        <v>11</v>
      </c>
      <c r="D157" s="3" t="s">
        <v>399</v>
      </c>
      <c r="E157" s="4">
        <f>E158</f>
        <v>300</v>
      </c>
      <c r="F157" s="4">
        <f>F158</f>
        <v>0</v>
      </c>
      <c r="G157" s="17" t="s">
        <v>39</v>
      </c>
      <c r="H157" s="20">
        <v>0</v>
      </c>
    </row>
    <row r="158" spans="1:8" ht="22.5" customHeight="1" x14ac:dyDescent="0.25">
      <c r="A158" s="44"/>
      <c r="B158" s="35"/>
      <c r="C158" s="5" t="s">
        <v>19</v>
      </c>
      <c r="D158" s="5" t="s">
        <v>400</v>
      </c>
      <c r="E158" s="6">
        <f>E159</f>
        <v>300</v>
      </c>
      <c r="F158" s="6">
        <f>F159</f>
        <v>0</v>
      </c>
      <c r="G158" s="18" t="s">
        <v>39</v>
      </c>
      <c r="H158" s="21">
        <v>0</v>
      </c>
    </row>
    <row r="159" spans="1:8" ht="22.5" customHeight="1" x14ac:dyDescent="0.25">
      <c r="A159" s="44"/>
      <c r="B159" s="35"/>
      <c r="C159" s="7" t="s">
        <v>194</v>
      </c>
      <c r="D159" s="5" t="s">
        <v>316</v>
      </c>
      <c r="E159" s="6">
        <f>300</f>
        <v>300</v>
      </c>
      <c r="F159" s="6">
        <f>0</f>
        <v>0</v>
      </c>
      <c r="G159" s="18" t="s">
        <v>39</v>
      </c>
      <c r="H159" s="21">
        <v>0</v>
      </c>
    </row>
    <row r="160" spans="1:8" ht="22.5" customHeight="1" thickBot="1" x14ac:dyDescent="0.3">
      <c r="A160" s="41" t="s">
        <v>16</v>
      </c>
      <c r="B160" s="42"/>
      <c r="C160" s="42"/>
      <c r="D160" s="43"/>
      <c r="E160" s="30">
        <f>E150+E157</f>
        <v>600</v>
      </c>
      <c r="F160" s="27">
        <f>F150+F157</f>
        <v>0</v>
      </c>
      <c r="G160" s="28" t="s">
        <v>39</v>
      </c>
      <c r="H160" s="29">
        <f>H150+H157</f>
        <v>0</v>
      </c>
    </row>
    <row r="161" spans="1:8" ht="22.5" customHeight="1" x14ac:dyDescent="0.25">
      <c r="A161" s="36">
        <v>8</v>
      </c>
      <c r="B161" s="35" t="s">
        <v>81</v>
      </c>
      <c r="C161" s="3" t="s">
        <v>6</v>
      </c>
      <c r="D161" s="3" t="s">
        <v>82</v>
      </c>
      <c r="E161" s="4">
        <f>E162+E166+E172+E177+E181+E187</f>
        <v>37382.269999999997</v>
      </c>
      <c r="F161" s="4">
        <f>F162+F166+F172+F177+F181+F187</f>
        <v>1317.25596</v>
      </c>
      <c r="G161" s="17" t="s">
        <v>401</v>
      </c>
      <c r="H161" s="22">
        <f>H162+H166+H172+H177+H181+H187</f>
        <v>1317.25596</v>
      </c>
    </row>
    <row r="162" spans="1:8" ht="22.5" customHeight="1" x14ac:dyDescent="0.25">
      <c r="A162" s="36"/>
      <c r="B162" s="35"/>
      <c r="C162" s="5" t="s">
        <v>19</v>
      </c>
      <c r="D162" s="5" t="s">
        <v>402</v>
      </c>
      <c r="E162" s="6">
        <f>E163+E164+E165</f>
        <v>16796.55</v>
      </c>
      <c r="F162" s="6">
        <f>F163+F164+F165</f>
        <v>1138.86394</v>
      </c>
      <c r="G162" s="18" t="s">
        <v>403</v>
      </c>
      <c r="H162" s="21">
        <f>H163+H164+H165</f>
        <v>1138.86394</v>
      </c>
    </row>
    <row r="163" spans="1:8" ht="22.5" customHeight="1" x14ac:dyDescent="0.25">
      <c r="A163" s="36"/>
      <c r="B163" s="35"/>
      <c r="C163" s="7" t="s">
        <v>190</v>
      </c>
      <c r="D163" s="5" t="s">
        <v>247</v>
      </c>
      <c r="E163" s="6">
        <f>0</f>
        <v>0</v>
      </c>
      <c r="F163" s="6">
        <f>0</f>
        <v>0</v>
      </c>
      <c r="G163" s="18" t="s">
        <v>8</v>
      </c>
      <c r="H163" s="21">
        <f>0</f>
        <v>0</v>
      </c>
    </row>
    <row r="164" spans="1:8" ht="22.5" customHeight="1" x14ac:dyDescent="0.25">
      <c r="A164" s="36"/>
      <c r="B164" s="35"/>
      <c r="C164" s="7" t="s">
        <v>191</v>
      </c>
      <c r="D164" s="5" t="s">
        <v>83</v>
      </c>
      <c r="E164" s="6">
        <f>106</f>
        <v>106</v>
      </c>
      <c r="F164" s="6">
        <f>0</f>
        <v>0</v>
      </c>
      <c r="G164" s="18" t="s">
        <v>39</v>
      </c>
      <c r="H164" s="21">
        <f>0</f>
        <v>0</v>
      </c>
    </row>
    <row r="165" spans="1:8" ht="22.5" customHeight="1" x14ac:dyDescent="0.25">
      <c r="A165" s="36"/>
      <c r="B165" s="35"/>
      <c r="C165" s="7" t="s">
        <v>199</v>
      </c>
      <c r="D165" s="5" t="s">
        <v>404</v>
      </c>
      <c r="E165" s="6">
        <f>16690.55</f>
        <v>16690.55</v>
      </c>
      <c r="F165" s="6">
        <f>1138.86394</f>
        <v>1138.86394</v>
      </c>
      <c r="G165" s="18" t="s">
        <v>403</v>
      </c>
      <c r="H165" s="21">
        <f>1138.86394</f>
        <v>1138.86394</v>
      </c>
    </row>
    <row r="166" spans="1:8" ht="22.5" customHeight="1" x14ac:dyDescent="0.25">
      <c r="A166" s="36"/>
      <c r="B166" s="35"/>
      <c r="C166" s="5" t="s">
        <v>31</v>
      </c>
      <c r="D166" s="5" t="s">
        <v>84</v>
      </c>
      <c r="E166" s="6">
        <f>E167+E168+E169+E170+E171</f>
        <v>975.65</v>
      </c>
      <c r="F166" s="6">
        <f>F167+F168+F169+F170+F171</f>
        <v>0</v>
      </c>
      <c r="G166" s="18" t="s">
        <v>39</v>
      </c>
      <c r="H166" s="21">
        <f>H167+H168+H169+H170+H171</f>
        <v>0</v>
      </c>
    </row>
    <row r="167" spans="1:8" ht="22.5" customHeight="1" x14ac:dyDescent="0.25">
      <c r="A167" s="36"/>
      <c r="B167" s="35"/>
      <c r="C167" s="7" t="s">
        <v>200</v>
      </c>
      <c r="D167" s="5" t="s">
        <v>248</v>
      </c>
      <c r="E167" s="6">
        <f>0</f>
        <v>0</v>
      </c>
      <c r="F167" s="6">
        <f>0</f>
        <v>0</v>
      </c>
      <c r="G167" s="18" t="s">
        <v>8</v>
      </c>
      <c r="H167" s="21">
        <f>0</f>
        <v>0</v>
      </c>
    </row>
    <row r="168" spans="1:8" ht="22.5" customHeight="1" x14ac:dyDescent="0.25">
      <c r="A168" s="36"/>
      <c r="B168" s="35"/>
      <c r="C168" s="7" t="s">
        <v>201</v>
      </c>
      <c r="D168" s="5" t="s">
        <v>85</v>
      </c>
      <c r="E168" s="6">
        <f>925.65</f>
        <v>925.65</v>
      </c>
      <c r="F168" s="6">
        <f>0</f>
        <v>0</v>
      </c>
      <c r="G168" s="18" t="s">
        <v>39</v>
      </c>
      <c r="H168" s="21">
        <f>0</f>
        <v>0</v>
      </c>
    </row>
    <row r="169" spans="1:8" ht="22.5" customHeight="1" x14ac:dyDescent="0.25">
      <c r="A169" s="36"/>
      <c r="B169" s="35"/>
      <c r="C169" s="7" t="s">
        <v>202</v>
      </c>
      <c r="D169" s="5" t="s">
        <v>249</v>
      </c>
      <c r="E169" s="6">
        <f>50</f>
        <v>50</v>
      </c>
      <c r="F169" s="6">
        <f>0</f>
        <v>0</v>
      </c>
      <c r="G169" s="18" t="s">
        <v>39</v>
      </c>
      <c r="H169" s="21">
        <f>0</f>
        <v>0</v>
      </c>
    </row>
    <row r="170" spans="1:8" ht="22.5" customHeight="1" x14ac:dyDescent="0.25">
      <c r="A170" s="36"/>
      <c r="B170" s="35"/>
      <c r="C170" s="7" t="s">
        <v>203</v>
      </c>
      <c r="D170" s="5" t="s">
        <v>86</v>
      </c>
      <c r="E170" s="6">
        <f>0</f>
        <v>0</v>
      </c>
      <c r="F170" s="6">
        <f>0</f>
        <v>0</v>
      </c>
      <c r="G170" s="18" t="s">
        <v>8</v>
      </c>
      <c r="H170" s="21">
        <f>0</f>
        <v>0</v>
      </c>
    </row>
    <row r="171" spans="1:8" ht="22.5" customHeight="1" x14ac:dyDescent="0.25">
      <c r="A171" s="36"/>
      <c r="B171" s="35"/>
      <c r="C171" s="7" t="s">
        <v>204</v>
      </c>
      <c r="D171" s="5" t="s">
        <v>405</v>
      </c>
      <c r="E171" s="6">
        <f>0</f>
        <v>0</v>
      </c>
      <c r="F171" s="6">
        <f>0</f>
        <v>0</v>
      </c>
      <c r="G171" s="18" t="s">
        <v>8</v>
      </c>
      <c r="H171" s="21">
        <f>0</f>
        <v>0</v>
      </c>
    </row>
    <row r="172" spans="1:8" ht="22.5" customHeight="1" x14ac:dyDescent="0.25">
      <c r="A172" s="36"/>
      <c r="B172" s="35"/>
      <c r="C172" s="5" t="s">
        <v>9</v>
      </c>
      <c r="D172" s="5" t="s">
        <v>406</v>
      </c>
      <c r="E172" s="6">
        <f>E173+E174+E175+E176</f>
        <v>68</v>
      </c>
      <c r="F172" s="6">
        <f>F173+F174+F175+F176</f>
        <v>0</v>
      </c>
      <c r="G172" s="18" t="s">
        <v>39</v>
      </c>
      <c r="H172" s="21">
        <f>H173+H174+H175+H176</f>
        <v>0</v>
      </c>
    </row>
    <row r="173" spans="1:8" ht="22.5" customHeight="1" x14ac:dyDescent="0.25">
      <c r="A173" s="36"/>
      <c r="B173" s="35"/>
      <c r="C173" s="7" t="s">
        <v>188</v>
      </c>
      <c r="D173" s="5" t="s">
        <v>178</v>
      </c>
      <c r="E173" s="6">
        <f>0</f>
        <v>0</v>
      </c>
      <c r="F173" s="6">
        <f>0</f>
        <v>0</v>
      </c>
      <c r="G173" s="18" t="s">
        <v>8</v>
      </c>
      <c r="H173" s="21">
        <f>0</f>
        <v>0</v>
      </c>
    </row>
    <row r="174" spans="1:8" ht="22.5" customHeight="1" x14ac:dyDescent="0.25">
      <c r="A174" s="36"/>
      <c r="B174" s="35"/>
      <c r="C174" s="7" t="s">
        <v>189</v>
      </c>
      <c r="D174" s="5" t="s">
        <v>87</v>
      </c>
      <c r="E174" s="6">
        <f>10</f>
        <v>10</v>
      </c>
      <c r="F174" s="6">
        <f>0</f>
        <v>0</v>
      </c>
      <c r="G174" s="18" t="s">
        <v>39</v>
      </c>
      <c r="H174" s="21">
        <f>0</f>
        <v>0</v>
      </c>
    </row>
    <row r="175" spans="1:8" ht="22.5" customHeight="1" x14ac:dyDescent="0.25">
      <c r="A175" s="36"/>
      <c r="B175" s="35"/>
      <c r="C175" s="7" t="s">
        <v>214</v>
      </c>
      <c r="D175" s="5" t="s">
        <v>407</v>
      </c>
      <c r="E175" s="6">
        <f>38</f>
        <v>38</v>
      </c>
      <c r="F175" s="6">
        <f>0</f>
        <v>0</v>
      </c>
      <c r="G175" s="18" t="s">
        <v>39</v>
      </c>
      <c r="H175" s="21">
        <f>0</f>
        <v>0</v>
      </c>
    </row>
    <row r="176" spans="1:8" ht="22.5" customHeight="1" x14ac:dyDescent="0.25">
      <c r="A176" s="36"/>
      <c r="B176" s="35"/>
      <c r="C176" s="7" t="s">
        <v>212</v>
      </c>
      <c r="D176" s="5" t="s">
        <v>408</v>
      </c>
      <c r="E176" s="6">
        <f>20</f>
        <v>20</v>
      </c>
      <c r="F176" s="6">
        <f>0</f>
        <v>0</v>
      </c>
      <c r="G176" s="18" t="s">
        <v>39</v>
      </c>
      <c r="H176" s="21">
        <f>0</f>
        <v>0</v>
      </c>
    </row>
    <row r="177" spans="1:8" ht="22.5" customHeight="1" x14ac:dyDescent="0.25">
      <c r="A177" s="36"/>
      <c r="B177" s="35"/>
      <c r="C177" s="5" t="s">
        <v>60</v>
      </c>
      <c r="D177" s="5" t="s">
        <v>409</v>
      </c>
      <c r="E177" s="6">
        <f>E178+E179+E180</f>
        <v>17363.169999999998</v>
      </c>
      <c r="F177" s="6">
        <f>F178+F179+F180</f>
        <v>14.512499999999999</v>
      </c>
      <c r="G177" s="18" t="s">
        <v>305</v>
      </c>
      <c r="H177" s="21">
        <f>H178+H179+H180</f>
        <v>14.512499999999999</v>
      </c>
    </row>
    <row r="178" spans="1:8" ht="22.5" customHeight="1" x14ac:dyDescent="0.25">
      <c r="A178" s="36"/>
      <c r="B178" s="35"/>
      <c r="C178" s="7" t="s">
        <v>226</v>
      </c>
      <c r="D178" s="5" t="s">
        <v>410</v>
      </c>
      <c r="E178" s="6">
        <f>0</f>
        <v>0</v>
      </c>
      <c r="F178" s="6">
        <f>0</f>
        <v>0</v>
      </c>
      <c r="G178" s="18" t="s">
        <v>8</v>
      </c>
      <c r="H178" s="21">
        <f>0</f>
        <v>0</v>
      </c>
    </row>
    <row r="179" spans="1:8" ht="22.5" customHeight="1" x14ac:dyDescent="0.25">
      <c r="A179" s="36"/>
      <c r="B179" s="35"/>
      <c r="C179" s="7" t="s">
        <v>222</v>
      </c>
      <c r="D179" s="5" t="s">
        <v>411</v>
      </c>
      <c r="E179" s="6">
        <f>17363.17</f>
        <v>17363.169999999998</v>
      </c>
      <c r="F179" s="6">
        <f>14.5125</f>
        <v>14.512499999999999</v>
      </c>
      <c r="G179" s="18" t="s">
        <v>305</v>
      </c>
      <c r="H179" s="21">
        <f>14.5125</f>
        <v>14.512499999999999</v>
      </c>
    </row>
    <row r="180" spans="1:8" ht="22.5" customHeight="1" x14ac:dyDescent="0.25">
      <c r="A180" s="36"/>
      <c r="B180" s="35"/>
      <c r="C180" s="7" t="s">
        <v>223</v>
      </c>
      <c r="D180" s="5" t="s">
        <v>412</v>
      </c>
      <c r="E180" s="6">
        <f>0</f>
        <v>0</v>
      </c>
      <c r="F180" s="6">
        <f>0</f>
        <v>0</v>
      </c>
      <c r="G180" s="18" t="s">
        <v>8</v>
      </c>
      <c r="H180" s="21">
        <f>0</f>
        <v>0</v>
      </c>
    </row>
    <row r="181" spans="1:8" ht="22.5" customHeight="1" x14ac:dyDescent="0.25">
      <c r="A181" s="36"/>
      <c r="B181" s="35"/>
      <c r="C181" s="5" t="s">
        <v>26</v>
      </c>
      <c r="D181" s="5" t="s">
        <v>88</v>
      </c>
      <c r="E181" s="6">
        <f>E182+E183+E184+E185+E186</f>
        <v>651.9</v>
      </c>
      <c r="F181" s="6">
        <f>F182+F183+F184+F185+F186</f>
        <v>0</v>
      </c>
      <c r="G181" s="18" t="s">
        <v>39</v>
      </c>
      <c r="H181" s="21">
        <f>H182+H183+H184+H185+H186</f>
        <v>0</v>
      </c>
    </row>
    <row r="182" spans="1:8" ht="22.5" customHeight="1" x14ac:dyDescent="0.25">
      <c r="A182" s="36"/>
      <c r="B182" s="35"/>
      <c r="C182" s="7" t="s">
        <v>196</v>
      </c>
      <c r="D182" s="5" t="s">
        <v>89</v>
      </c>
      <c r="E182" s="6">
        <f>356.9</f>
        <v>356.9</v>
      </c>
      <c r="F182" s="6">
        <f>0</f>
        <v>0</v>
      </c>
      <c r="G182" s="18" t="s">
        <v>39</v>
      </c>
      <c r="H182" s="21">
        <f>0</f>
        <v>0</v>
      </c>
    </row>
    <row r="183" spans="1:8" ht="22.5" customHeight="1" x14ac:dyDescent="0.25">
      <c r="A183" s="36"/>
      <c r="B183" s="35"/>
      <c r="C183" s="7" t="s">
        <v>197</v>
      </c>
      <c r="D183" s="5" t="s">
        <v>170</v>
      </c>
      <c r="E183" s="6">
        <f>183</f>
        <v>183</v>
      </c>
      <c r="F183" s="6">
        <f>0</f>
        <v>0</v>
      </c>
      <c r="G183" s="18" t="s">
        <v>39</v>
      </c>
      <c r="H183" s="21">
        <f>0</f>
        <v>0</v>
      </c>
    </row>
    <row r="184" spans="1:8" ht="22.5" customHeight="1" x14ac:dyDescent="0.25">
      <c r="A184" s="36"/>
      <c r="B184" s="35"/>
      <c r="C184" s="7" t="s">
        <v>198</v>
      </c>
      <c r="D184" s="5" t="s">
        <v>413</v>
      </c>
      <c r="E184" s="6">
        <f>54</f>
        <v>54</v>
      </c>
      <c r="F184" s="6">
        <f>0</f>
        <v>0</v>
      </c>
      <c r="G184" s="18" t="s">
        <v>39</v>
      </c>
      <c r="H184" s="21">
        <f>0</f>
        <v>0</v>
      </c>
    </row>
    <row r="185" spans="1:8" ht="22.5" customHeight="1" x14ac:dyDescent="0.25">
      <c r="A185" s="36"/>
      <c r="B185" s="35"/>
      <c r="C185" s="7" t="s">
        <v>224</v>
      </c>
      <c r="D185" s="5" t="s">
        <v>414</v>
      </c>
      <c r="E185" s="6">
        <f>13</f>
        <v>13</v>
      </c>
      <c r="F185" s="6">
        <f>0</f>
        <v>0</v>
      </c>
      <c r="G185" s="18" t="s">
        <v>39</v>
      </c>
      <c r="H185" s="21">
        <f>0</f>
        <v>0</v>
      </c>
    </row>
    <row r="186" spans="1:8" ht="22.5" customHeight="1" x14ac:dyDescent="0.25">
      <c r="A186" s="36"/>
      <c r="B186" s="35"/>
      <c r="C186" s="7" t="s">
        <v>229</v>
      </c>
      <c r="D186" s="5" t="s">
        <v>415</v>
      </c>
      <c r="E186" s="6">
        <f>45</f>
        <v>45</v>
      </c>
      <c r="F186" s="6">
        <f>0</f>
        <v>0</v>
      </c>
      <c r="G186" s="18" t="s">
        <v>39</v>
      </c>
      <c r="H186" s="21">
        <f>0</f>
        <v>0</v>
      </c>
    </row>
    <row r="187" spans="1:8" ht="22.5" customHeight="1" x14ac:dyDescent="0.25">
      <c r="A187" s="36"/>
      <c r="B187" s="35"/>
      <c r="C187" s="5" t="s">
        <v>95</v>
      </c>
      <c r="D187" s="5" t="s">
        <v>416</v>
      </c>
      <c r="E187" s="6">
        <f>E188+E189+E190</f>
        <v>1527</v>
      </c>
      <c r="F187" s="6">
        <f>F188+F189+F190</f>
        <v>163.87952000000001</v>
      </c>
      <c r="G187" s="18" t="s">
        <v>417</v>
      </c>
      <c r="H187" s="21">
        <f>H188+H189+H190</f>
        <v>163.87952000000001</v>
      </c>
    </row>
    <row r="188" spans="1:8" ht="22.5" customHeight="1" x14ac:dyDescent="0.25">
      <c r="A188" s="36"/>
      <c r="B188" s="35"/>
      <c r="C188" s="7" t="s">
        <v>228</v>
      </c>
      <c r="D188" s="5" t="s">
        <v>418</v>
      </c>
      <c r="E188" s="6">
        <f>1027</f>
        <v>1027</v>
      </c>
      <c r="F188" s="6">
        <f>163.87952</f>
        <v>163.87952000000001</v>
      </c>
      <c r="G188" s="18" t="s">
        <v>375</v>
      </c>
      <c r="H188" s="21">
        <f>163.87952</f>
        <v>163.87952000000001</v>
      </c>
    </row>
    <row r="189" spans="1:8" ht="22.5" customHeight="1" x14ac:dyDescent="0.25">
      <c r="A189" s="36"/>
      <c r="B189" s="35"/>
      <c r="C189" s="7" t="s">
        <v>227</v>
      </c>
      <c r="D189" s="5" t="s">
        <v>419</v>
      </c>
      <c r="E189" s="6">
        <f>0</f>
        <v>0</v>
      </c>
      <c r="F189" s="6">
        <f>0</f>
        <v>0</v>
      </c>
      <c r="G189" s="18" t="s">
        <v>8</v>
      </c>
      <c r="H189" s="21">
        <f>0</f>
        <v>0</v>
      </c>
    </row>
    <row r="190" spans="1:8" ht="22.5" customHeight="1" x14ac:dyDescent="0.25">
      <c r="A190" s="36"/>
      <c r="B190" s="35"/>
      <c r="C190" s="7" t="s">
        <v>420</v>
      </c>
      <c r="D190" s="5" t="s">
        <v>421</v>
      </c>
      <c r="E190" s="6">
        <f>500</f>
        <v>500</v>
      </c>
      <c r="F190" s="6">
        <f>0</f>
        <v>0</v>
      </c>
      <c r="G190" s="18" t="s">
        <v>39</v>
      </c>
      <c r="H190" s="21">
        <f>0</f>
        <v>0</v>
      </c>
    </row>
    <row r="191" spans="1:8" ht="22.5" customHeight="1" x14ac:dyDescent="0.25">
      <c r="A191" s="36"/>
      <c r="B191" s="35"/>
      <c r="C191" s="3" t="s">
        <v>18</v>
      </c>
      <c r="D191" s="3" t="s">
        <v>422</v>
      </c>
      <c r="E191" s="4">
        <f>E192+E195+E197+E202</f>
        <v>40050.939999999995</v>
      </c>
      <c r="F191" s="4">
        <f>F192+F195+F197+F202</f>
        <v>9.4990000000000006</v>
      </c>
      <c r="G191" s="17" t="s">
        <v>303</v>
      </c>
      <c r="H191" s="20">
        <f>H192+H195+H197+H202</f>
        <v>9.4990000000000006</v>
      </c>
    </row>
    <row r="192" spans="1:8" ht="22.5" customHeight="1" x14ac:dyDescent="0.25">
      <c r="A192" s="36"/>
      <c r="B192" s="35"/>
      <c r="C192" s="5" t="s">
        <v>19</v>
      </c>
      <c r="D192" s="5" t="s">
        <v>423</v>
      </c>
      <c r="E192" s="6">
        <f>E193+E194</f>
        <v>984.14</v>
      </c>
      <c r="F192" s="6">
        <f>F193+F194</f>
        <v>9.4990000000000006</v>
      </c>
      <c r="G192" s="18" t="s">
        <v>424</v>
      </c>
      <c r="H192" s="21">
        <f>H193+H194</f>
        <v>9.4990000000000006</v>
      </c>
    </row>
    <row r="193" spans="1:8" ht="22.5" customHeight="1" x14ac:dyDescent="0.25">
      <c r="A193" s="36"/>
      <c r="B193" s="35"/>
      <c r="C193" s="7" t="s">
        <v>190</v>
      </c>
      <c r="D193" s="5" t="s">
        <v>425</v>
      </c>
      <c r="E193" s="6">
        <f>653.65</f>
        <v>653.65</v>
      </c>
      <c r="F193" s="6">
        <f>9.499</f>
        <v>9.4990000000000006</v>
      </c>
      <c r="G193" s="18" t="s">
        <v>426</v>
      </c>
      <c r="H193" s="21">
        <f>9.499</f>
        <v>9.4990000000000006</v>
      </c>
    </row>
    <row r="194" spans="1:8" ht="22.5" customHeight="1" x14ac:dyDescent="0.25">
      <c r="A194" s="36"/>
      <c r="B194" s="35"/>
      <c r="C194" s="7" t="s">
        <v>199</v>
      </c>
      <c r="D194" s="5" t="s">
        <v>427</v>
      </c>
      <c r="E194" s="6">
        <f>330.49</f>
        <v>330.49</v>
      </c>
      <c r="F194" s="6">
        <f>0</f>
        <v>0</v>
      </c>
      <c r="G194" s="18" t="s">
        <v>39</v>
      </c>
      <c r="H194" s="21">
        <f>0</f>
        <v>0</v>
      </c>
    </row>
    <row r="195" spans="1:8" ht="22.5" customHeight="1" x14ac:dyDescent="0.25">
      <c r="A195" s="36"/>
      <c r="B195" s="35"/>
      <c r="C195" s="5" t="s">
        <v>31</v>
      </c>
      <c r="D195" s="5" t="s">
        <v>428</v>
      </c>
      <c r="E195" s="6">
        <f>E196</f>
        <v>38441.199999999997</v>
      </c>
      <c r="F195" s="6">
        <f>F196</f>
        <v>0</v>
      </c>
      <c r="G195" s="18" t="s">
        <v>39</v>
      </c>
      <c r="H195" s="21">
        <f>H196</f>
        <v>0</v>
      </c>
    </row>
    <row r="196" spans="1:8" ht="22.5" customHeight="1" x14ac:dyDescent="0.25">
      <c r="A196" s="36"/>
      <c r="B196" s="35"/>
      <c r="C196" s="7" t="s">
        <v>200</v>
      </c>
      <c r="D196" s="5" t="s">
        <v>429</v>
      </c>
      <c r="E196" s="6">
        <f>38441.2</f>
        <v>38441.199999999997</v>
      </c>
      <c r="F196" s="6">
        <f>0</f>
        <v>0</v>
      </c>
      <c r="G196" s="18" t="s">
        <v>39</v>
      </c>
      <c r="H196" s="21">
        <f>0</f>
        <v>0</v>
      </c>
    </row>
    <row r="197" spans="1:8" ht="22.5" customHeight="1" x14ac:dyDescent="0.25">
      <c r="A197" s="36"/>
      <c r="B197" s="35"/>
      <c r="C197" s="5" t="s">
        <v>9</v>
      </c>
      <c r="D197" s="5" t="s">
        <v>430</v>
      </c>
      <c r="E197" s="6">
        <f>E198+E199+E200+E201</f>
        <v>625.6</v>
      </c>
      <c r="F197" s="6">
        <f>F198+F199+F200+F201</f>
        <v>0</v>
      </c>
      <c r="G197" s="18" t="s">
        <v>39</v>
      </c>
      <c r="H197" s="21">
        <f>H198+H199+H200+H201</f>
        <v>0</v>
      </c>
    </row>
    <row r="198" spans="1:8" ht="22.5" customHeight="1" x14ac:dyDescent="0.25">
      <c r="A198" s="36"/>
      <c r="B198" s="35"/>
      <c r="C198" s="7" t="s">
        <v>188</v>
      </c>
      <c r="D198" s="5" t="s">
        <v>431</v>
      </c>
      <c r="E198" s="6">
        <f>265.6</f>
        <v>265.60000000000002</v>
      </c>
      <c r="F198" s="6">
        <f>0</f>
        <v>0</v>
      </c>
      <c r="G198" s="18" t="s">
        <v>39</v>
      </c>
      <c r="H198" s="21">
        <f>0</f>
        <v>0</v>
      </c>
    </row>
    <row r="199" spans="1:8" ht="22.5" customHeight="1" x14ac:dyDescent="0.25">
      <c r="A199" s="36"/>
      <c r="B199" s="35"/>
      <c r="C199" s="7" t="s">
        <v>189</v>
      </c>
      <c r="D199" s="5" t="s">
        <v>432</v>
      </c>
      <c r="E199" s="6">
        <f>60</f>
        <v>60</v>
      </c>
      <c r="F199" s="6">
        <f>0</f>
        <v>0</v>
      </c>
      <c r="G199" s="18" t="s">
        <v>39</v>
      </c>
      <c r="H199" s="21">
        <f>0</f>
        <v>0</v>
      </c>
    </row>
    <row r="200" spans="1:8" ht="22.5" customHeight="1" x14ac:dyDescent="0.25">
      <c r="A200" s="36"/>
      <c r="B200" s="35"/>
      <c r="C200" s="7" t="s">
        <v>214</v>
      </c>
      <c r="D200" s="5" t="s">
        <v>433</v>
      </c>
      <c r="E200" s="6">
        <f>0</f>
        <v>0</v>
      </c>
      <c r="F200" s="6">
        <f>0</f>
        <v>0</v>
      </c>
      <c r="G200" s="18" t="s">
        <v>8</v>
      </c>
      <c r="H200" s="21">
        <f>0</f>
        <v>0</v>
      </c>
    </row>
    <row r="201" spans="1:8" ht="22.5" customHeight="1" x14ac:dyDescent="0.25">
      <c r="A201" s="36"/>
      <c r="B201" s="35"/>
      <c r="C201" s="7" t="s">
        <v>212</v>
      </c>
      <c r="D201" s="5" t="s">
        <v>434</v>
      </c>
      <c r="E201" s="6">
        <f>300</f>
        <v>300</v>
      </c>
      <c r="F201" s="6">
        <f>0</f>
        <v>0</v>
      </c>
      <c r="G201" s="18" t="s">
        <v>39</v>
      </c>
      <c r="H201" s="21">
        <f>0</f>
        <v>0</v>
      </c>
    </row>
    <row r="202" spans="1:8" ht="22.5" customHeight="1" x14ac:dyDescent="0.25">
      <c r="A202" s="36"/>
      <c r="B202" s="35"/>
      <c r="C202" s="5" t="s">
        <v>26</v>
      </c>
      <c r="D202" s="5" t="s">
        <v>435</v>
      </c>
      <c r="E202" s="6">
        <f>0</f>
        <v>0</v>
      </c>
      <c r="F202" s="6">
        <f>0</f>
        <v>0</v>
      </c>
      <c r="G202" s="18" t="s">
        <v>8</v>
      </c>
      <c r="H202" s="21">
        <f>0</f>
        <v>0</v>
      </c>
    </row>
    <row r="203" spans="1:8" ht="22.5" customHeight="1" x14ac:dyDescent="0.25">
      <c r="A203" s="36"/>
      <c r="B203" s="35"/>
      <c r="C203" s="3" t="s">
        <v>22</v>
      </c>
      <c r="D203" s="3" t="s">
        <v>172</v>
      </c>
      <c r="E203" s="4">
        <f>E204+E207+E209</f>
        <v>4234.3600000000006</v>
      </c>
      <c r="F203" s="4">
        <f>F204+F207+F209</f>
        <v>224.55136999999999</v>
      </c>
      <c r="G203" s="17" t="s">
        <v>436</v>
      </c>
      <c r="H203" s="20">
        <f>H204+H207+H209</f>
        <v>224.55136999999999</v>
      </c>
    </row>
    <row r="204" spans="1:8" ht="22.5" customHeight="1" x14ac:dyDescent="0.25">
      <c r="A204" s="36"/>
      <c r="B204" s="35"/>
      <c r="C204" s="5" t="s">
        <v>19</v>
      </c>
      <c r="D204" s="5" t="s">
        <v>437</v>
      </c>
      <c r="E204" s="6">
        <f>E205+E206</f>
        <v>2847.7200000000003</v>
      </c>
      <c r="F204" s="6">
        <f>F205+F206</f>
        <v>224.55136999999999</v>
      </c>
      <c r="G204" s="18" t="s">
        <v>438</v>
      </c>
      <c r="H204" s="21">
        <f>H205+H206</f>
        <v>224.55136999999999</v>
      </c>
    </row>
    <row r="205" spans="1:8" ht="22.5" customHeight="1" x14ac:dyDescent="0.25">
      <c r="A205" s="36"/>
      <c r="B205" s="35"/>
      <c r="C205" s="7" t="s">
        <v>190</v>
      </c>
      <c r="D205" s="5" t="s">
        <v>439</v>
      </c>
      <c r="E205" s="6">
        <f>2007.72</f>
        <v>2007.72</v>
      </c>
      <c r="F205" s="6">
        <v>224.55136999999999</v>
      </c>
      <c r="G205" s="18" t="s">
        <v>440</v>
      </c>
      <c r="H205" s="21">
        <v>224.55136999999999</v>
      </c>
    </row>
    <row r="206" spans="1:8" ht="22.5" customHeight="1" x14ac:dyDescent="0.25">
      <c r="A206" s="36"/>
      <c r="B206" s="35"/>
      <c r="C206" s="7" t="s">
        <v>191</v>
      </c>
      <c r="D206" s="5" t="s">
        <v>441</v>
      </c>
      <c r="E206" s="6">
        <f>840</f>
        <v>840</v>
      </c>
      <c r="F206" s="6">
        <v>0</v>
      </c>
      <c r="G206" s="18" t="s">
        <v>39</v>
      </c>
      <c r="H206" s="21">
        <v>0</v>
      </c>
    </row>
    <row r="207" spans="1:8" ht="22.5" customHeight="1" x14ac:dyDescent="0.25">
      <c r="A207" s="36"/>
      <c r="B207" s="35"/>
      <c r="C207" s="5" t="s">
        <v>31</v>
      </c>
      <c r="D207" s="5" t="s">
        <v>442</v>
      </c>
      <c r="E207" s="6">
        <f>E208</f>
        <v>148</v>
      </c>
      <c r="F207" s="6">
        <f>F208</f>
        <v>0</v>
      </c>
      <c r="G207" s="18" t="s">
        <v>39</v>
      </c>
      <c r="H207" s="21">
        <f>H208</f>
        <v>0</v>
      </c>
    </row>
    <row r="208" spans="1:8" ht="22.5" customHeight="1" x14ac:dyDescent="0.25">
      <c r="A208" s="36"/>
      <c r="B208" s="35"/>
      <c r="C208" s="7" t="s">
        <v>200</v>
      </c>
      <c r="D208" s="5" t="s">
        <v>443</v>
      </c>
      <c r="E208" s="6">
        <f>148</f>
        <v>148</v>
      </c>
      <c r="F208" s="6">
        <f>0</f>
        <v>0</v>
      </c>
      <c r="G208" s="18" t="s">
        <v>39</v>
      </c>
      <c r="H208" s="21">
        <f>0</f>
        <v>0</v>
      </c>
    </row>
    <row r="209" spans="1:8" ht="22.5" customHeight="1" x14ac:dyDescent="0.25">
      <c r="A209" s="36"/>
      <c r="B209" s="35"/>
      <c r="C209" s="5" t="s">
        <v>9</v>
      </c>
      <c r="D209" s="5" t="s">
        <v>444</v>
      </c>
      <c r="E209" s="6">
        <f>E210+E211+E212+E213+E214</f>
        <v>1238.6400000000001</v>
      </c>
      <c r="F209" s="6">
        <f>F210+F211+F212+F213+F214</f>
        <v>0</v>
      </c>
      <c r="G209" s="18" t="s">
        <v>39</v>
      </c>
      <c r="H209" s="21">
        <f>H210+H211+H212+H213+H214</f>
        <v>0</v>
      </c>
    </row>
    <row r="210" spans="1:8" ht="22.5" customHeight="1" x14ac:dyDescent="0.25">
      <c r="A210" s="36"/>
      <c r="B210" s="35"/>
      <c r="C210" s="7" t="s">
        <v>188</v>
      </c>
      <c r="D210" s="5" t="s">
        <v>445</v>
      </c>
      <c r="E210" s="6">
        <f>1238.64</f>
        <v>1238.6400000000001</v>
      </c>
      <c r="F210" s="6">
        <f>0</f>
        <v>0</v>
      </c>
      <c r="G210" s="18" t="s">
        <v>39</v>
      </c>
      <c r="H210" s="21">
        <f>0</f>
        <v>0</v>
      </c>
    </row>
    <row r="211" spans="1:8" ht="22.5" customHeight="1" x14ac:dyDescent="0.25">
      <c r="A211" s="36"/>
      <c r="B211" s="35"/>
      <c r="C211" s="7" t="s">
        <v>189</v>
      </c>
      <c r="D211" s="5" t="s">
        <v>446</v>
      </c>
      <c r="E211" s="6">
        <f>0</f>
        <v>0</v>
      </c>
      <c r="F211" s="6">
        <f>0</f>
        <v>0</v>
      </c>
      <c r="G211" s="18" t="s">
        <v>8</v>
      </c>
      <c r="H211" s="21">
        <f>0</f>
        <v>0</v>
      </c>
    </row>
    <row r="212" spans="1:8" ht="22.5" customHeight="1" x14ac:dyDescent="0.25">
      <c r="A212" s="36"/>
      <c r="B212" s="35"/>
      <c r="C212" s="7" t="s">
        <v>214</v>
      </c>
      <c r="D212" s="5" t="s">
        <v>90</v>
      </c>
      <c r="E212" s="6">
        <f>0</f>
        <v>0</v>
      </c>
      <c r="F212" s="6">
        <f>0</f>
        <v>0</v>
      </c>
      <c r="G212" s="18" t="s">
        <v>8</v>
      </c>
      <c r="H212" s="21">
        <f>0</f>
        <v>0</v>
      </c>
    </row>
    <row r="213" spans="1:8" ht="22.5" customHeight="1" x14ac:dyDescent="0.25">
      <c r="A213" s="36"/>
      <c r="B213" s="35"/>
      <c r="C213" s="7" t="s">
        <v>212</v>
      </c>
      <c r="D213" s="5" t="s">
        <v>447</v>
      </c>
      <c r="E213" s="6">
        <f>0</f>
        <v>0</v>
      </c>
      <c r="F213" s="6">
        <f>0</f>
        <v>0</v>
      </c>
      <c r="G213" s="18" t="s">
        <v>8</v>
      </c>
      <c r="H213" s="21">
        <f>0</f>
        <v>0</v>
      </c>
    </row>
    <row r="214" spans="1:8" ht="22.5" customHeight="1" x14ac:dyDescent="0.25">
      <c r="A214" s="36"/>
      <c r="B214" s="35"/>
      <c r="C214" s="7" t="s">
        <v>213</v>
      </c>
      <c r="D214" s="5" t="s">
        <v>448</v>
      </c>
      <c r="E214" s="6">
        <f>0</f>
        <v>0</v>
      </c>
      <c r="F214" s="6">
        <f>0</f>
        <v>0</v>
      </c>
      <c r="G214" s="18" t="s">
        <v>8</v>
      </c>
      <c r="H214" s="21">
        <f>0</f>
        <v>0</v>
      </c>
    </row>
    <row r="215" spans="1:8" ht="22.5" customHeight="1" x14ac:dyDescent="0.25">
      <c r="A215" s="36"/>
      <c r="B215" s="35"/>
      <c r="C215" s="3" t="s">
        <v>25</v>
      </c>
      <c r="D215" s="3" t="s">
        <v>171</v>
      </c>
      <c r="E215" s="4">
        <f>E216</f>
        <v>2297.5300000000002</v>
      </c>
      <c r="F215" s="4">
        <f>F216</f>
        <v>264.28098</v>
      </c>
      <c r="G215" s="17" t="s">
        <v>300</v>
      </c>
      <c r="H215" s="20">
        <f>H216</f>
        <v>264.28098</v>
      </c>
    </row>
    <row r="216" spans="1:8" ht="22.5" customHeight="1" x14ac:dyDescent="0.25">
      <c r="A216" s="36"/>
      <c r="B216" s="35"/>
      <c r="C216" s="5" t="s">
        <v>19</v>
      </c>
      <c r="D216" s="5" t="s">
        <v>449</v>
      </c>
      <c r="E216" s="6">
        <f>E217+E218+E219+E220+E221+E222+E223+E224+E225+E226+E227</f>
        <v>2297.5300000000002</v>
      </c>
      <c r="F216" s="6">
        <f>F217+F218+F219+F220+F221+F222+F223+F224+F225+F226+F227</f>
        <v>264.28098</v>
      </c>
      <c r="G216" s="18" t="s">
        <v>300</v>
      </c>
      <c r="H216" s="21">
        <f>H217+H218+H219+H220+H221+H222+H223+H224+H225+H226+H227</f>
        <v>264.28098</v>
      </c>
    </row>
    <row r="217" spans="1:8" ht="22.5" customHeight="1" x14ac:dyDescent="0.25">
      <c r="A217" s="36"/>
      <c r="B217" s="35"/>
      <c r="C217" s="7" t="s">
        <v>190</v>
      </c>
      <c r="D217" s="5" t="s">
        <v>450</v>
      </c>
      <c r="E217" s="6">
        <f>0</f>
        <v>0</v>
      </c>
      <c r="F217" s="6">
        <f>0</f>
        <v>0</v>
      </c>
      <c r="G217" s="18" t="s">
        <v>8</v>
      </c>
      <c r="H217" s="21">
        <f>0</f>
        <v>0</v>
      </c>
    </row>
    <row r="218" spans="1:8" ht="22.5" customHeight="1" x14ac:dyDescent="0.25">
      <c r="A218" s="36"/>
      <c r="B218" s="35"/>
      <c r="C218" s="7" t="s">
        <v>191</v>
      </c>
      <c r="D218" s="5" t="s">
        <v>92</v>
      </c>
      <c r="E218" s="6">
        <f>94</f>
        <v>94</v>
      </c>
      <c r="F218" s="6">
        <f>4.47012</f>
        <v>4.4701199999999996</v>
      </c>
      <c r="G218" s="18" t="s">
        <v>284</v>
      </c>
      <c r="H218" s="21">
        <f>4.47012</f>
        <v>4.4701199999999996</v>
      </c>
    </row>
    <row r="219" spans="1:8" ht="22.5" customHeight="1" x14ac:dyDescent="0.25">
      <c r="A219" s="36"/>
      <c r="B219" s="35"/>
      <c r="C219" s="7" t="s">
        <v>199</v>
      </c>
      <c r="D219" s="5" t="s">
        <v>451</v>
      </c>
      <c r="E219" s="6">
        <f>20</f>
        <v>20</v>
      </c>
      <c r="F219" s="6">
        <f>0</f>
        <v>0</v>
      </c>
      <c r="G219" s="18" t="s">
        <v>39</v>
      </c>
      <c r="H219" s="21">
        <f>0</f>
        <v>0</v>
      </c>
    </row>
    <row r="220" spans="1:8" ht="22.5" customHeight="1" x14ac:dyDescent="0.25">
      <c r="A220" s="36"/>
      <c r="B220" s="35"/>
      <c r="C220" s="7" t="s">
        <v>194</v>
      </c>
      <c r="D220" s="5" t="s">
        <v>452</v>
      </c>
      <c r="E220" s="6">
        <f>81.27</f>
        <v>81.27</v>
      </c>
      <c r="F220" s="6">
        <f>0</f>
        <v>0</v>
      </c>
      <c r="G220" s="18" t="s">
        <v>39</v>
      </c>
      <c r="H220" s="21">
        <f>0</f>
        <v>0</v>
      </c>
    </row>
    <row r="221" spans="1:8" ht="22.5" customHeight="1" x14ac:dyDescent="0.25">
      <c r="A221" s="36"/>
      <c r="B221" s="35"/>
      <c r="C221" s="7" t="s">
        <v>195</v>
      </c>
      <c r="D221" s="5" t="s">
        <v>453</v>
      </c>
      <c r="E221" s="6">
        <f>1131.7</f>
        <v>1131.7</v>
      </c>
      <c r="F221" s="6">
        <f>172.11774</f>
        <v>172.11774</v>
      </c>
      <c r="G221" s="18" t="s">
        <v>454</v>
      </c>
      <c r="H221" s="21">
        <f>172.11774</f>
        <v>172.11774</v>
      </c>
    </row>
    <row r="222" spans="1:8" ht="22.5" customHeight="1" x14ac:dyDescent="0.25">
      <c r="A222" s="36"/>
      <c r="B222" s="35"/>
      <c r="C222" s="7" t="s">
        <v>208</v>
      </c>
      <c r="D222" s="5" t="s">
        <v>455</v>
      </c>
      <c r="E222" s="6">
        <f>0</f>
        <v>0</v>
      </c>
      <c r="F222" s="6">
        <f>0</f>
        <v>0</v>
      </c>
      <c r="G222" s="18" t="s">
        <v>8</v>
      </c>
      <c r="H222" s="21">
        <f>0</f>
        <v>0</v>
      </c>
    </row>
    <row r="223" spans="1:8" ht="22.5" customHeight="1" x14ac:dyDescent="0.25">
      <c r="A223" s="36"/>
      <c r="B223" s="35"/>
      <c r="C223" s="7" t="s">
        <v>209</v>
      </c>
      <c r="D223" s="5" t="s">
        <v>456</v>
      </c>
      <c r="E223" s="6">
        <f>10</f>
        <v>10</v>
      </c>
      <c r="F223" s="6">
        <f>0</f>
        <v>0</v>
      </c>
      <c r="G223" s="18" t="s">
        <v>39</v>
      </c>
      <c r="H223" s="21">
        <f>0</f>
        <v>0</v>
      </c>
    </row>
    <row r="224" spans="1:8" ht="22.5" customHeight="1" x14ac:dyDescent="0.25">
      <c r="A224" s="36"/>
      <c r="B224" s="35"/>
      <c r="C224" s="7" t="s">
        <v>210</v>
      </c>
      <c r="D224" s="5" t="s">
        <v>457</v>
      </c>
      <c r="E224" s="6">
        <f>526.16</f>
        <v>526.16</v>
      </c>
      <c r="F224" s="6">
        <f>87.69312</f>
        <v>87.693119999999993</v>
      </c>
      <c r="G224" s="18" t="s">
        <v>287</v>
      </c>
      <c r="H224" s="21">
        <f>87.69312</f>
        <v>87.693119999999993</v>
      </c>
    </row>
    <row r="225" spans="1:8" ht="22.5" customHeight="1" x14ac:dyDescent="0.25">
      <c r="A225" s="36"/>
      <c r="B225" s="35"/>
      <c r="C225" s="7" t="s">
        <v>225</v>
      </c>
      <c r="D225" s="5" t="s">
        <v>458</v>
      </c>
      <c r="E225" s="6">
        <f>434.4</f>
        <v>434.4</v>
      </c>
      <c r="F225" s="6">
        <f>0</f>
        <v>0</v>
      </c>
      <c r="G225" s="18" t="s">
        <v>39</v>
      </c>
      <c r="H225" s="21">
        <f>0</f>
        <v>0</v>
      </c>
    </row>
    <row r="226" spans="1:8" ht="22.5" customHeight="1" x14ac:dyDescent="0.25">
      <c r="A226" s="36"/>
      <c r="B226" s="35"/>
      <c r="C226" s="7" t="s">
        <v>233</v>
      </c>
      <c r="D226" s="5" t="s">
        <v>459</v>
      </c>
      <c r="E226" s="6">
        <f>0</f>
        <v>0</v>
      </c>
      <c r="F226" s="6">
        <f>0</f>
        <v>0</v>
      </c>
      <c r="G226" s="18" t="s">
        <v>8</v>
      </c>
      <c r="H226" s="21">
        <f>0</f>
        <v>0</v>
      </c>
    </row>
    <row r="227" spans="1:8" ht="22.5" customHeight="1" x14ac:dyDescent="0.25">
      <c r="A227" s="36"/>
      <c r="B227" s="35"/>
      <c r="C227" s="7" t="s">
        <v>234</v>
      </c>
      <c r="D227" s="5" t="s">
        <v>460</v>
      </c>
      <c r="E227" s="6">
        <f>0</f>
        <v>0</v>
      </c>
      <c r="F227" s="6">
        <f>0</f>
        <v>0</v>
      </c>
      <c r="G227" s="18" t="s">
        <v>8</v>
      </c>
      <c r="H227" s="21">
        <f>0</f>
        <v>0</v>
      </c>
    </row>
    <row r="228" spans="1:8" ht="22.5" customHeight="1" x14ac:dyDescent="0.25">
      <c r="A228" s="36"/>
      <c r="B228" s="35"/>
      <c r="C228" s="3" t="s">
        <v>11</v>
      </c>
      <c r="D228" s="3" t="s">
        <v>461</v>
      </c>
      <c r="E228" s="4">
        <f>E229</f>
        <v>72.2</v>
      </c>
      <c r="F228" s="4">
        <f>F229</f>
        <v>0</v>
      </c>
      <c r="G228" s="17" t="s">
        <v>39</v>
      </c>
      <c r="H228" s="20">
        <f>H229</f>
        <v>0</v>
      </c>
    </row>
    <row r="229" spans="1:8" ht="22.5" customHeight="1" x14ac:dyDescent="0.25">
      <c r="A229" s="36"/>
      <c r="B229" s="35"/>
      <c r="C229" s="5" t="s">
        <v>19</v>
      </c>
      <c r="D229" s="5" t="s">
        <v>462</v>
      </c>
      <c r="E229" s="6">
        <f>E230+E231+E232</f>
        <v>72.2</v>
      </c>
      <c r="F229" s="6">
        <f>F230+F231+F232</f>
        <v>0</v>
      </c>
      <c r="G229" s="18" t="s">
        <v>39</v>
      </c>
      <c r="H229" s="21">
        <f>H230+H231+H232</f>
        <v>0</v>
      </c>
    </row>
    <row r="230" spans="1:8" ht="22.5" customHeight="1" x14ac:dyDescent="0.25">
      <c r="A230" s="36"/>
      <c r="B230" s="35"/>
      <c r="C230" s="7" t="s">
        <v>190</v>
      </c>
      <c r="D230" s="5" t="s">
        <v>250</v>
      </c>
      <c r="E230" s="6">
        <f>72.2</f>
        <v>72.2</v>
      </c>
      <c r="F230" s="6">
        <f>0</f>
        <v>0</v>
      </c>
      <c r="G230" s="18" t="s">
        <v>39</v>
      </c>
      <c r="H230" s="21">
        <f>0</f>
        <v>0</v>
      </c>
    </row>
    <row r="231" spans="1:8" ht="22.5" customHeight="1" x14ac:dyDescent="0.25">
      <c r="A231" s="36"/>
      <c r="B231" s="35"/>
      <c r="C231" s="7" t="s">
        <v>191</v>
      </c>
      <c r="D231" s="5" t="s">
        <v>463</v>
      </c>
      <c r="E231" s="6">
        <f>0</f>
        <v>0</v>
      </c>
      <c r="F231" s="6">
        <f>0</f>
        <v>0</v>
      </c>
      <c r="G231" s="18" t="s">
        <v>8</v>
      </c>
      <c r="H231" s="21">
        <f>0</f>
        <v>0</v>
      </c>
    </row>
    <row r="232" spans="1:8" ht="22.5" customHeight="1" x14ac:dyDescent="0.25">
      <c r="A232" s="36"/>
      <c r="B232" s="35"/>
      <c r="C232" s="7" t="s">
        <v>199</v>
      </c>
      <c r="D232" s="5" t="s">
        <v>464</v>
      </c>
      <c r="E232" s="6">
        <f>0</f>
        <v>0</v>
      </c>
      <c r="F232" s="6">
        <f>0</f>
        <v>0</v>
      </c>
      <c r="G232" s="18" t="s">
        <v>8</v>
      </c>
      <c r="H232" s="21">
        <f>0</f>
        <v>0</v>
      </c>
    </row>
    <row r="233" spans="1:8" ht="22.5" customHeight="1" x14ac:dyDescent="0.25">
      <c r="A233" s="36"/>
      <c r="B233" s="35"/>
      <c r="C233" s="3" t="s">
        <v>93</v>
      </c>
      <c r="D233" s="3" t="s">
        <v>34</v>
      </c>
      <c r="E233" s="4">
        <f>E234</f>
        <v>32392.33</v>
      </c>
      <c r="F233" s="4">
        <f>F234</f>
        <v>6794.0962099999997</v>
      </c>
      <c r="G233" s="17" t="s">
        <v>465</v>
      </c>
      <c r="H233" s="20">
        <f>H234</f>
        <v>6794.0962099999997</v>
      </c>
    </row>
    <row r="234" spans="1:8" ht="22.5" customHeight="1" x14ac:dyDescent="0.25">
      <c r="A234" s="36"/>
      <c r="B234" s="35"/>
      <c r="C234" s="5" t="s">
        <v>19</v>
      </c>
      <c r="D234" s="5" t="s">
        <v>35</v>
      </c>
      <c r="E234" s="6">
        <f>E235</f>
        <v>32392.33</v>
      </c>
      <c r="F234" s="6">
        <f>F235</f>
        <v>6794.0962099999997</v>
      </c>
      <c r="G234" s="18" t="s">
        <v>465</v>
      </c>
      <c r="H234" s="21">
        <f>H235</f>
        <v>6794.0962099999997</v>
      </c>
    </row>
    <row r="235" spans="1:8" ht="22.5" customHeight="1" x14ac:dyDescent="0.25">
      <c r="A235" s="36"/>
      <c r="B235" s="35"/>
      <c r="C235" s="7" t="s">
        <v>190</v>
      </c>
      <c r="D235" s="5" t="s">
        <v>466</v>
      </c>
      <c r="E235" s="6">
        <f>32392.33</f>
        <v>32392.33</v>
      </c>
      <c r="F235" s="6">
        <f>6794.09621</f>
        <v>6794.0962099999997</v>
      </c>
      <c r="G235" s="18" t="s">
        <v>465</v>
      </c>
      <c r="H235" s="21">
        <f>6794.09621</f>
        <v>6794.0962099999997</v>
      </c>
    </row>
    <row r="236" spans="1:8" ht="22.5" customHeight="1" thickBot="1" x14ac:dyDescent="0.3">
      <c r="A236" s="48" t="s">
        <v>16</v>
      </c>
      <c r="B236" s="49"/>
      <c r="C236" s="49"/>
      <c r="D236" s="49"/>
      <c r="E236" s="30">
        <f>E161+E191+E203+E215+E228+E233</f>
        <v>116429.62999999999</v>
      </c>
      <c r="F236" s="27">
        <f>F161+F191+F203+F215+F228+F233</f>
        <v>8609.6835199999987</v>
      </c>
      <c r="G236" s="31" t="s">
        <v>467</v>
      </c>
      <c r="H236" s="29">
        <f>H161+H191+H203+H215+H228+H233</f>
        <v>8609.6835199999987</v>
      </c>
    </row>
    <row r="237" spans="1:8" ht="22.5" customHeight="1" x14ac:dyDescent="0.25">
      <c r="A237" s="57">
        <v>9</v>
      </c>
      <c r="B237" s="58" t="s">
        <v>94</v>
      </c>
      <c r="C237" s="3" t="s">
        <v>6</v>
      </c>
      <c r="D237" s="3" t="s">
        <v>468</v>
      </c>
      <c r="E237" s="4">
        <f>E238+E239</f>
        <v>0</v>
      </c>
      <c r="F237" s="4">
        <f>F238+F239</f>
        <v>0</v>
      </c>
      <c r="G237" s="17" t="s">
        <v>8</v>
      </c>
      <c r="H237" s="22">
        <f>H238+H239</f>
        <v>0</v>
      </c>
    </row>
    <row r="238" spans="1:8" ht="22.5" customHeight="1" x14ac:dyDescent="0.25">
      <c r="A238" s="44"/>
      <c r="B238" s="35"/>
      <c r="C238" s="5" t="s">
        <v>19</v>
      </c>
      <c r="D238" s="5" t="s">
        <v>469</v>
      </c>
      <c r="E238" s="6">
        <f>0</f>
        <v>0</v>
      </c>
      <c r="F238" s="6">
        <f>0</f>
        <v>0</v>
      </c>
      <c r="G238" s="18" t="s">
        <v>8</v>
      </c>
      <c r="H238" s="21">
        <f>0</f>
        <v>0</v>
      </c>
    </row>
    <row r="239" spans="1:8" ht="22.5" customHeight="1" x14ac:dyDescent="0.25">
      <c r="A239" s="44"/>
      <c r="B239" s="35"/>
      <c r="C239" s="5" t="s">
        <v>9</v>
      </c>
      <c r="D239" s="5" t="s">
        <v>470</v>
      </c>
      <c r="E239" s="6">
        <f>0</f>
        <v>0</v>
      </c>
      <c r="F239" s="6">
        <f>0</f>
        <v>0</v>
      </c>
      <c r="G239" s="18" t="s">
        <v>8</v>
      </c>
      <c r="H239" s="21">
        <f>0</f>
        <v>0</v>
      </c>
    </row>
    <row r="240" spans="1:8" ht="22.5" customHeight="1" x14ac:dyDescent="0.25">
      <c r="A240" s="44"/>
      <c r="B240" s="35"/>
      <c r="C240" s="3" t="s">
        <v>18</v>
      </c>
      <c r="D240" s="3" t="s">
        <v>96</v>
      </c>
      <c r="E240" s="4">
        <f>E241</f>
        <v>10348.799999999999</v>
      </c>
      <c r="F240" s="4">
        <f>F241</f>
        <v>2348.5699999999997</v>
      </c>
      <c r="G240" s="17" t="s">
        <v>389</v>
      </c>
      <c r="H240" s="20">
        <f>H241</f>
        <v>2348.5699999999997</v>
      </c>
    </row>
    <row r="241" spans="1:8" ht="22.5" customHeight="1" x14ac:dyDescent="0.25">
      <c r="A241" s="44"/>
      <c r="B241" s="35"/>
      <c r="C241" s="5" t="s">
        <v>19</v>
      </c>
      <c r="D241" s="5" t="s">
        <v>280</v>
      </c>
      <c r="E241" s="6">
        <f>E242</f>
        <v>10348.799999999999</v>
      </c>
      <c r="F241" s="6">
        <f>F242</f>
        <v>2348.5699999999997</v>
      </c>
      <c r="G241" s="18" t="s">
        <v>389</v>
      </c>
      <c r="H241" s="21">
        <f>H242</f>
        <v>2348.5699999999997</v>
      </c>
    </row>
    <row r="242" spans="1:8" ht="22.5" customHeight="1" x14ac:dyDescent="0.25">
      <c r="A242" s="44"/>
      <c r="B242" s="35"/>
      <c r="C242" s="7" t="s">
        <v>190</v>
      </c>
      <c r="D242" s="5" t="s">
        <v>281</v>
      </c>
      <c r="E242" s="6">
        <f>984.3+380.2+984.3+8000</f>
        <v>10348.799999999999</v>
      </c>
      <c r="F242" s="6">
        <f>984.21+380.14+984.22</f>
        <v>2348.5699999999997</v>
      </c>
      <c r="G242" s="18" t="s">
        <v>389</v>
      </c>
      <c r="H242" s="21">
        <f>984.21+380.14+984.22</f>
        <v>2348.5699999999997</v>
      </c>
    </row>
    <row r="243" spans="1:8" ht="22.5" customHeight="1" x14ac:dyDescent="0.25">
      <c r="A243" s="44"/>
      <c r="B243" s="35"/>
      <c r="C243" s="3" t="s">
        <v>22</v>
      </c>
      <c r="D243" s="3" t="s">
        <v>97</v>
      </c>
      <c r="E243" s="4">
        <f>E244</f>
        <v>77002</v>
      </c>
      <c r="F243" s="4">
        <f>F244</f>
        <v>35610.240000000005</v>
      </c>
      <c r="G243" s="17" t="s">
        <v>471</v>
      </c>
      <c r="H243" s="20">
        <f>H244</f>
        <v>35610.240000000005</v>
      </c>
    </row>
    <row r="244" spans="1:8" ht="22.5" customHeight="1" x14ac:dyDescent="0.25">
      <c r="A244" s="44"/>
      <c r="B244" s="35"/>
      <c r="C244" s="5" t="s">
        <v>19</v>
      </c>
      <c r="D244" s="5" t="s">
        <v>472</v>
      </c>
      <c r="E244" s="6">
        <f>E245</f>
        <v>77002</v>
      </c>
      <c r="F244" s="6">
        <f>F245</f>
        <v>35610.240000000005</v>
      </c>
      <c r="G244" s="18" t="s">
        <v>471</v>
      </c>
      <c r="H244" s="21">
        <f>H245</f>
        <v>35610.240000000005</v>
      </c>
    </row>
    <row r="245" spans="1:8" ht="22.5" customHeight="1" x14ac:dyDescent="0.25">
      <c r="A245" s="44"/>
      <c r="B245" s="35"/>
      <c r="C245" s="7" t="s">
        <v>190</v>
      </c>
      <c r="D245" s="5" t="s">
        <v>473</v>
      </c>
      <c r="E245" s="6">
        <f>8520+12582.22+55899.78</f>
        <v>77002</v>
      </c>
      <c r="F245" s="6">
        <f>12581.93+23028.31</f>
        <v>35610.240000000005</v>
      </c>
      <c r="G245" s="18" t="s">
        <v>471</v>
      </c>
      <c r="H245" s="21">
        <f>12581.93+23028.31</f>
        <v>35610.240000000005</v>
      </c>
    </row>
    <row r="246" spans="1:8" ht="22.5" customHeight="1" x14ac:dyDescent="0.25">
      <c r="A246" s="44"/>
      <c r="B246" s="35"/>
      <c r="C246" s="3" t="s">
        <v>93</v>
      </c>
      <c r="D246" s="3" t="s">
        <v>474</v>
      </c>
      <c r="E246" s="4">
        <f>E247</f>
        <v>0</v>
      </c>
      <c r="F246" s="4">
        <f>F247</f>
        <v>0</v>
      </c>
      <c r="G246" s="17" t="s">
        <v>8</v>
      </c>
      <c r="H246" s="20">
        <f>H247</f>
        <v>0</v>
      </c>
    </row>
    <row r="247" spans="1:8" ht="22.5" customHeight="1" x14ac:dyDescent="0.25">
      <c r="A247" s="44"/>
      <c r="B247" s="35"/>
      <c r="C247" s="5" t="s">
        <v>19</v>
      </c>
      <c r="D247" s="5" t="s">
        <v>475</v>
      </c>
      <c r="E247" s="6">
        <f>0</f>
        <v>0</v>
      </c>
      <c r="F247" s="6">
        <f>0</f>
        <v>0</v>
      </c>
      <c r="G247" s="18" t="s">
        <v>8</v>
      </c>
      <c r="H247" s="21">
        <f>0</f>
        <v>0</v>
      </c>
    </row>
    <row r="248" spans="1:8" ht="22.5" customHeight="1" x14ac:dyDescent="0.25">
      <c r="A248" s="44"/>
      <c r="B248" s="35"/>
      <c r="C248" s="3" t="s">
        <v>30</v>
      </c>
      <c r="D248" s="3" t="s">
        <v>251</v>
      </c>
      <c r="E248" s="4">
        <f>E249</f>
        <v>16757</v>
      </c>
      <c r="F248" s="4">
        <f>F249</f>
        <v>13527.95</v>
      </c>
      <c r="G248" s="17" t="s">
        <v>476</v>
      </c>
      <c r="H248" s="20">
        <f>H249</f>
        <v>13527.95</v>
      </c>
    </row>
    <row r="249" spans="1:8" ht="22.5" customHeight="1" x14ac:dyDescent="0.25">
      <c r="A249" s="44"/>
      <c r="B249" s="35"/>
      <c r="C249" s="5" t="s">
        <v>19</v>
      </c>
      <c r="D249" s="5" t="s">
        <v>252</v>
      </c>
      <c r="E249" s="6">
        <f>E250</f>
        <v>16757</v>
      </c>
      <c r="F249" s="6">
        <f>F250</f>
        <v>13527.95</v>
      </c>
      <c r="G249" s="18" t="s">
        <v>476</v>
      </c>
      <c r="H249" s="21">
        <f>H250</f>
        <v>13527.95</v>
      </c>
    </row>
    <row r="250" spans="1:8" ht="22.5" customHeight="1" x14ac:dyDescent="0.25">
      <c r="A250" s="44"/>
      <c r="B250" s="35"/>
      <c r="C250" s="7" t="s">
        <v>190</v>
      </c>
      <c r="D250" s="5" t="s">
        <v>283</v>
      </c>
      <c r="E250" s="6">
        <f>168+16589</f>
        <v>16757</v>
      </c>
      <c r="F250" s="6">
        <f>135.28+13392.67</f>
        <v>13527.95</v>
      </c>
      <c r="G250" s="18" t="s">
        <v>476</v>
      </c>
      <c r="H250" s="21">
        <f>135.28+13392.67</f>
        <v>13527.95</v>
      </c>
    </row>
    <row r="251" spans="1:8" ht="22.5" customHeight="1" thickBot="1" x14ac:dyDescent="0.3">
      <c r="A251" s="41" t="s">
        <v>16</v>
      </c>
      <c r="B251" s="42"/>
      <c r="C251" s="42"/>
      <c r="D251" s="43"/>
      <c r="E251" s="30">
        <f>E237+E240+E243+E246+E248</f>
        <v>104107.8</v>
      </c>
      <c r="F251" s="27">
        <f>F237+F240+F243+F246+F248</f>
        <v>51486.760000000009</v>
      </c>
      <c r="G251" s="31" t="s">
        <v>477</v>
      </c>
      <c r="H251" s="29">
        <f>H237+H240+H243+H246+H248</f>
        <v>51486.760000000009</v>
      </c>
    </row>
    <row r="252" spans="1:8" ht="22.5" customHeight="1" x14ac:dyDescent="0.25">
      <c r="A252" s="44">
        <v>10</v>
      </c>
      <c r="B252" s="35" t="s">
        <v>98</v>
      </c>
      <c r="C252" s="3" t="s">
        <v>6</v>
      </c>
      <c r="D252" s="3" t="s">
        <v>253</v>
      </c>
      <c r="E252" s="4">
        <f>E253</f>
        <v>0</v>
      </c>
      <c r="F252" s="4">
        <f>F253</f>
        <v>0</v>
      </c>
      <c r="G252" s="17" t="s">
        <v>8</v>
      </c>
      <c r="H252" s="22">
        <f>H253</f>
        <v>0</v>
      </c>
    </row>
    <row r="253" spans="1:8" ht="22.5" customHeight="1" x14ac:dyDescent="0.25">
      <c r="A253" s="44"/>
      <c r="B253" s="35"/>
      <c r="C253" s="5" t="s">
        <v>31</v>
      </c>
      <c r="D253" s="5" t="s">
        <v>254</v>
      </c>
      <c r="E253" s="6">
        <f>0</f>
        <v>0</v>
      </c>
      <c r="F253" s="6">
        <f>0</f>
        <v>0</v>
      </c>
      <c r="G253" s="18" t="s">
        <v>8</v>
      </c>
      <c r="H253" s="21">
        <f>0</f>
        <v>0</v>
      </c>
    </row>
    <row r="254" spans="1:8" ht="22.5" customHeight="1" x14ac:dyDescent="0.25">
      <c r="A254" s="44"/>
      <c r="B254" s="35"/>
      <c r="C254" s="3" t="s">
        <v>22</v>
      </c>
      <c r="D254" s="3" t="s">
        <v>478</v>
      </c>
      <c r="E254" s="4">
        <f>E255+E257</f>
        <v>20000</v>
      </c>
      <c r="F254" s="4">
        <f>F255+F257</f>
        <v>0</v>
      </c>
      <c r="G254" s="17" t="s">
        <v>39</v>
      </c>
      <c r="H254" s="20">
        <f>H255+H257</f>
        <v>0</v>
      </c>
    </row>
    <row r="255" spans="1:8" ht="22.5" customHeight="1" x14ac:dyDescent="0.25">
      <c r="A255" s="44"/>
      <c r="B255" s="35"/>
      <c r="C255" s="5" t="s">
        <v>19</v>
      </c>
      <c r="D255" s="5" t="s">
        <v>479</v>
      </c>
      <c r="E255" s="6">
        <f>E256</f>
        <v>20000</v>
      </c>
      <c r="F255" s="6">
        <f>F256</f>
        <v>0</v>
      </c>
      <c r="G255" s="18" t="s">
        <v>39</v>
      </c>
      <c r="H255" s="21">
        <f>H256</f>
        <v>0</v>
      </c>
    </row>
    <row r="256" spans="1:8" ht="22.5" customHeight="1" x14ac:dyDescent="0.25">
      <c r="A256" s="44"/>
      <c r="B256" s="35"/>
      <c r="C256" s="7" t="s">
        <v>190</v>
      </c>
      <c r="D256" s="5" t="s">
        <v>480</v>
      </c>
      <c r="E256" s="6">
        <f>4620+15380</f>
        <v>20000</v>
      </c>
      <c r="F256" s="6">
        <f>0</f>
        <v>0</v>
      </c>
      <c r="G256" s="18" t="s">
        <v>39</v>
      </c>
      <c r="H256" s="21">
        <f>0</f>
        <v>0</v>
      </c>
    </row>
    <row r="257" spans="1:8" ht="22.5" customHeight="1" x14ac:dyDescent="0.25">
      <c r="A257" s="44"/>
      <c r="B257" s="35"/>
      <c r="C257" s="5" t="s">
        <v>26</v>
      </c>
      <c r="D257" s="5" t="s">
        <v>99</v>
      </c>
      <c r="E257" s="6">
        <f>0</f>
        <v>0</v>
      </c>
      <c r="F257" s="6">
        <f>0</f>
        <v>0</v>
      </c>
      <c r="G257" s="18" t="s">
        <v>8</v>
      </c>
      <c r="H257" s="21">
        <f>0</f>
        <v>0</v>
      </c>
    </row>
    <row r="258" spans="1:8" ht="22.5" customHeight="1" x14ac:dyDescent="0.25">
      <c r="A258" s="44"/>
      <c r="B258" s="35"/>
      <c r="C258" s="3" t="s">
        <v>11</v>
      </c>
      <c r="D258" s="3" t="s">
        <v>100</v>
      </c>
      <c r="E258" s="4">
        <f>E259</f>
        <v>5700.6</v>
      </c>
      <c r="F258" s="4">
        <f>F259</f>
        <v>0</v>
      </c>
      <c r="G258" s="17" t="s">
        <v>39</v>
      </c>
      <c r="H258" s="20">
        <f>H259</f>
        <v>0</v>
      </c>
    </row>
    <row r="259" spans="1:8" ht="22.5" customHeight="1" x14ac:dyDescent="0.25">
      <c r="A259" s="44"/>
      <c r="B259" s="35"/>
      <c r="C259" s="5" t="s">
        <v>31</v>
      </c>
      <c r="D259" s="5" t="s">
        <v>255</v>
      </c>
      <c r="E259" s="6">
        <f>E260+E261</f>
        <v>5700.6</v>
      </c>
      <c r="F259" s="6">
        <f>F260+F261</f>
        <v>0</v>
      </c>
      <c r="G259" s="18" t="s">
        <v>39</v>
      </c>
      <c r="H259" s="21">
        <f>H260+H261</f>
        <v>0</v>
      </c>
    </row>
    <row r="260" spans="1:8" ht="22.5" customHeight="1" x14ac:dyDescent="0.25">
      <c r="A260" s="44"/>
      <c r="B260" s="35"/>
      <c r="C260" s="7" t="s">
        <v>200</v>
      </c>
      <c r="D260" s="5" t="s">
        <v>278</v>
      </c>
      <c r="E260" s="6">
        <f>100</f>
        <v>100</v>
      </c>
      <c r="F260" s="6">
        <f>0</f>
        <v>0</v>
      </c>
      <c r="G260" s="18" t="s">
        <v>39</v>
      </c>
      <c r="H260" s="21">
        <f>0</f>
        <v>0</v>
      </c>
    </row>
    <row r="261" spans="1:8" ht="22.5" customHeight="1" x14ac:dyDescent="0.25">
      <c r="A261" s="44"/>
      <c r="B261" s="35"/>
      <c r="C261" s="7" t="s">
        <v>201</v>
      </c>
      <c r="D261" s="5" t="s">
        <v>279</v>
      </c>
      <c r="E261" s="6">
        <f>5600.6</f>
        <v>5600.6</v>
      </c>
      <c r="F261" s="6">
        <f>0</f>
        <v>0</v>
      </c>
      <c r="G261" s="18" t="s">
        <v>39</v>
      </c>
      <c r="H261" s="21">
        <f>0</f>
        <v>0</v>
      </c>
    </row>
    <row r="262" spans="1:8" ht="22.5" customHeight="1" x14ac:dyDescent="0.25">
      <c r="A262" s="44"/>
      <c r="B262" s="35"/>
      <c r="C262" s="3" t="s">
        <v>33</v>
      </c>
      <c r="D262" s="3" t="s">
        <v>481</v>
      </c>
      <c r="E262" s="4">
        <f>E263</f>
        <v>348</v>
      </c>
      <c r="F262" s="4">
        <f>F263</f>
        <v>37.68141</v>
      </c>
      <c r="G262" s="17" t="s">
        <v>482</v>
      </c>
      <c r="H262" s="20">
        <f>H263</f>
        <v>37.68141</v>
      </c>
    </row>
    <row r="263" spans="1:8" ht="22.5" customHeight="1" x14ac:dyDescent="0.25">
      <c r="A263" s="44"/>
      <c r="B263" s="35"/>
      <c r="C263" s="5" t="s">
        <v>31</v>
      </c>
      <c r="D263" s="5" t="s">
        <v>483</v>
      </c>
      <c r="E263" s="6">
        <f>E264</f>
        <v>348</v>
      </c>
      <c r="F263" s="6">
        <f>F264</f>
        <v>37.68141</v>
      </c>
      <c r="G263" s="18" t="s">
        <v>482</v>
      </c>
      <c r="H263" s="21">
        <f>H264</f>
        <v>37.68141</v>
      </c>
    </row>
    <row r="264" spans="1:8" ht="22.5" customHeight="1" x14ac:dyDescent="0.25">
      <c r="A264" s="44"/>
      <c r="B264" s="35"/>
      <c r="C264" s="7" t="s">
        <v>204</v>
      </c>
      <c r="D264" s="5" t="s">
        <v>484</v>
      </c>
      <c r="E264" s="6">
        <f>348</f>
        <v>348</v>
      </c>
      <c r="F264" s="6">
        <f>37.68141</f>
        <v>37.68141</v>
      </c>
      <c r="G264" s="18" t="s">
        <v>482</v>
      </c>
      <c r="H264" s="21">
        <f>37.68141</f>
        <v>37.68141</v>
      </c>
    </row>
    <row r="265" spans="1:8" ht="22.5" customHeight="1" thickBot="1" x14ac:dyDescent="0.3">
      <c r="A265" s="41" t="s">
        <v>16</v>
      </c>
      <c r="B265" s="42"/>
      <c r="C265" s="42"/>
      <c r="D265" s="43"/>
      <c r="E265" s="30">
        <f>E252+E254+E258+E262</f>
        <v>26048.6</v>
      </c>
      <c r="F265" s="27">
        <f>F252+F254+F258+F262</f>
        <v>37.68141</v>
      </c>
      <c r="G265" s="31" t="s">
        <v>485</v>
      </c>
      <c r="H265" s="29">
        <f>H252+H254+H258+H262</f>
        <v>37.68141</v>
      </c>
    </row>
    <row r="266" spans="1:8" ht="22.5" customHeight="1" x14ac:dyDescent="0.25">
      <c r="A266" s="44">
        <v>11</v>
      </c>
      <c r="B266" s="35" t="s">
        <v>101</v>
      </c>
      <c r="C266" s="3" t="s">
        <v>6</v>
      </c>
      <c r="D266" s="3" t="s">
        <v>102</v>
      </c>
      <c r="E266" s="4">
        <f>E267+E268+E280+E281</f>
        <v>115673.80000000002</v>
      </c>
      <c r="F266" s="4">
        <f>F267+F268+F280+F281</f>
        <v>0</v>
      </c>
      <c r="G266" s="17" t="s">
        <v>39</v>
      </c>
      <c r="H266" s="22">
        <f>H267+H268+H280+H281</f>
        <v>0</v>
      </c>
    </row>
    <row r="267" spans="1:8" ht="22.5" customHeight="1" x14ac:dyDescent="0.25">
      <c r="A267" s="44"/>
      <c r="B267" s="35"/>
      <c r="C267" s="5" t="s">
        <v>31</v>
      </c>
      <c r="D267" s="5" t="s">
        <v>486</v>
      </c>
      <c r="E267" s="6">
        <f>0</f>
        <v>0</v>
      </c>
      <c r="F267" s="6">
        <f>0</f>
        <v>0</v>
      </c>
      <c r="G267" s="18" t="s">
        <v>8</v>
      </c>
      <c r="H267" s="21">
        <f>0</f>
        <v>0</v>
      </c>
    </row>
    <row r="268" spans="1:8" ht="22.5" customHeight="1" x14ac:dyDescent="0.25">
      <c r="A268" s="44"/>
      <c r="B268" s="35"/>
      <c r="C268" s="5" t="s">
        <v>9</v>
      </c>
      <c r="D268" s="5" t="s">
        <v>103</v>
      </c>
      <c r="E268" s="6">
        <f>E269</f>
        <v>115673.80000000002</v>
      </c>
      <c r="F268" s="6">
        <f>F269</f>
        <v>0</v>
      </c>
      <c r="G268" s="18" t="s">
        <v>39</v>
      </c>
      <c r="H268" s="21">
        <f>H269</f>
        <v>0</v>
      </c>
    </row>
    <row r="269" spans="1:8" ht="22.5" customHeight="1" x14ac:dyDescent="0.25">
      <c r="A269" s="44"/>
      <c r="B269" s="35"/>
      <c r="C269" s="7" t="s">
        <v>188</v>
      </c>
      <c r="D269" s="5" t="s">
        <v>104</v>
      </c>
      <c r="E269" s="6">
        <f>E270+E271+E272+E273+E274+E275+E276+E277+E278+E279</f>
        <v>115673.80000000002</v>
      </c>
      <c r="F269" s="6">
        <f>F270+F271+F272+F273+F274+F275+F276+F277+F278+F279</f>
        <v>0</v>
      </c>
      <c r="G269" s="18" t="s">
        <v>39</v>
      </c>
      <c r="H269" s="21">
        <f>H270+H271+H272+H273+H274+H275+H276+H277+H278+H279</f>
        <v>0</v>
      </c>
    </row>
    <row r="270" spans="1:8" ht="22.5" customHeight="1" x14ac:dyDescent="0.25">
      <c r="A270" s="44"/>
      <c r="B270" s="35"/>
      <c r="C270" s="7" t="s">
        <v>218</v>
      </c>
      <c r="D270" s="5" t="s">
        <v>487</v>
      </c>
      <c r="E270" s="6">
        <f>11589.3+14750+3639.55</f>
        <v>29978.85</v>
      </c>
      <c r="F270" s="6">
        <f>0</f>
        <v>0</v>
      </c>
      <c r="G270" s="18" t="s">
        <v>39</v>
      </c>
      <c r="H270" s="21">
        <f>0</f>
        <v>0</v>
      </c>
    </row>
    <row r="271" spans="1:8" ht="22.5" customHeight="1" x14ac:dyDescent="0.25">
      <c r="A271" s="44"/>
      <c r="B271" s="35"/>
      <c r="C271" s="7" t="s">
        <v>219</v>
      </c>
      <c r="D271" s="5" t="s">
        <v>488</v>
      </c>
      <c r="E271" s="6">
        <f>19140+24360+6010.81</f>
        <v>49510.81</v>
      </c>
      <c r="F271" s="6">
        <f>0</f>
        <v>0</v>
      </c>
      <c r="G271" s="18" t="s">
        <v>39</v>
      </c>
      <c r="H271" s="21">
        <f>0</f>
        <v>0</v>
      </c>
    </row>
    <row r="272" spans="1:8" ht="22.5" customHeight="1" x14ac:dyDescent="0.25">
      <c r="A272" s="44"/>
      <c r="B272" s="35"/>
      <c r="C272" s="7" t="s">
        <v>246</v>
      </c>
      <c r="D272" s="5" t="s">
        <v>489</v>
      </c>
      <c r="E272" s="6">
        <f>4196.5+5340.9+1317.87</f>
        <v>10855.27</v>
      </c>
      <c r="F272" s="6">
        <f>0</f>
        <v>0</v>
      </c>
      <c r="G272" s="18" t="s">
        <v>39</v>
      </c>
      <c r="H272" s="21">
        <f>0</f>
        <v>0</v>
      </c>
    </row>
    <row r="273" spans="1:8" ht="22.5" customHeight="1" x14ac:dyDescent="0.25">
      <c r="A273" s="44"/>
      <c r="B273" s="35"/>
      <c r="C273" s="7" t="s">
        <v>490</v>
      </c>
      <c r="D273" s="5" t="s">
        <v>491</v>
      </c>
      <c r="E273" s="6">
        <f>9791.7+12462.1+3075.07</f>
        <v>25328.870000000003</v>
      </c>
      <c r="F273" s="6">
        <f>0</f>
        <v>0</v>
      </c>
      <c r="G273" s="18" t="s">
        <v>39</v>
      </c>
      <c r="H273" s="21">
        <f>0</f>
        <v>0</v>
      </c>
    </row>
    <row r="274" spans="1:8" ht="22.5" customHeight="1" x14ac:dyDescent="0.25">
      <c r="A274" s="44"/>
      <c r="B274" s="35"/>
      <c r="C274" s="7" t="s">
        <v>492</v>
      </c>
      <c r="D274" s="5" t="s">
        <v>493</v>
      </c>
      <c r="E274" s="6">
        <f>0</f>
        <v>0</v>
      </c>
      <c r="F274" s="6">
        <f>0</f>
        <v>0</v>
      </c>
      <c r="G274" s="18" t="s">
        <v>8</v>
      </c>
      <c r="H274" s="21">
        <f>0</f>
        <v>0</v>
      </c>
    </row>
    <row r="275" spans="1:8" ht="22.5" customHeight="1" x14ac:dyDescent="0.25">
      <c r="A275" s="44"/>
      <c r="B275" s="35"/>
      <c r="C275" s="7" t="s">
        <v>494</v>
      </c>
      <c r="D275" s="5" t="s">
        <v>495</v>
      </c>
      <c r="E275" s="6">
        <f>0</f>
        <v>0</v>
      </c>
      <c r="F275" s="6">
        <f>0</f>
        <v>0</v>
      </c>
      <c r="G275" s="18" t="s">
        <v>8</v>
      </c>
      <c r="H275" s="21">
        <f>0</f>
        <v>0</v>
      </c>
    </row>
    <row r="276" spans="1:8" ht="22.5" customHeight="1" x14ac:dyDescent="0.25">
      <c r="A276" s="44"/>
      <c r="B276" s="35"/>
      <c r="C276" s="7" t="s">
        <v>496</v>
      </c>
      <c r="D276" s="5" t="s">
        <v>497</v>
      </c>
      <c r="E276" s="6">
        <f>0</f>
        <v>0</v>
      </c>
      <c r="F276" s="6">
        <f>0</f>
        <v>0</v>
      </c>
      <c r="G276" s="18" t="s">
        <v>8</v>
      </c>
      <c r="H276" s="21">
        <f>0</f>
        <v>0</v>
      </c>
    </row>
    <row r="277" spans="1:8" ht="22.5" customHeight="1" x14ac:dyDescent="0.25">
      <c r="A277" s="44"/>
      <c r="B277" s="35"/>
      <c r="C277" s="7" t="s">
        <v>498</v>
      </c>
      <c r="D277" s="5" t="s">
        <v>499</v>
      </c>
      <c r="E277" s="6">
        <f>0</f>
        <v>0</v>
      </c>
      <c r="F277" s="6">
        <f>0</f>
        <v>0</v>
      </c>
      <c r="G277" s="18" t="s">
        <v>8</v>
      </c>
      <c r="H277" s="21">
        <f>0</f>
        <v>0</v>
      </c>
    </row>
    <row r="278" spans="1:8" ht="22.5" customHeight="1" x14ac:dyDescent="0.25">
      <c r="A278" s="44"/>
      <c r="B278" s="35"/>
      <c r="C278" s="7" t="s">
        <v>500</v>
      </c>
      <c r="D278" s="5" t="s">
        <v>256</v>
      </c>
      <c r="E278" s="6">
        <f>0</f>
        <v>0</v>
      </c>
      <c r="F278" s="6">
        <f>0</f>
        <v>0</v>
      </c>
      <c r="G278" s="18" t="s">
        <v>8</v>
      </c>
      <c r="H278" s="21">
        <f>0</f>
        <v>0</v>
      </c>
    </row>
    <row r="279" spans="1:8" ht="22.5" customHeight="1" x14ac:dyDescent="0.25">
      <c r="A279" s="44"/>
      <c r="B279" s="35"/>
      <c r="C279" s="7" t="s">
        <v>501</v>
      </c>
      <c r="D279" s="5" t="s">
        <v>502</v>
      </c>
      <c r="E279" s="6">
        <f>0</f>
        <v>0</v>
      </c>
      <c r="F279" s="6">
        <f>0</f>
        <v>0</v>
      </c>
      <c r="G279" s="18" t="s">
        <v>8</v>
      </c>
      <c r="H279" s="21">
        <f>0</f>
        <v>0</v>
      </c>
    </row>
    <row r="280" spans="1:8" ht="22.5" customHeight="1" x14ac:dyDescent="0.25">
      <c r="A280" s="44"/>
      <c r="B280" s="35"/>
      <c r="C280" s="5" t="s">
        <v>26</v>
      </c>
      <c r="D280" s="5" t="s">
        <v>503</v>
      </c>
      <c r="E280" s="6">
        <f>0</f>
        <v>0</v>
      </c>
      <c r="F280" s="6">
        <f>0</f>
        <v>0</v>
      </c>
      <c r="G280" s="18" t="s">
        <v>8</v>
      </c>
      <c r="H280" s="21">
        <f>0</f>
        <v>0</v>
      </c>
    </row>
    <row r="281" spans="1:8" ht="22.5" customHeight="1" x14ac:dyDescent="0.25">
      <c r="A281" s="44"/>
      <c r="B281" s="35"/>
      <c r="C281" s="5" t="s">
        <v>182</v>
      </c>
      <c r="D281" s="5" t="s">
        <v>504</v>
      </c>
      <c r="E281" s="6">
        <f>0</f>
        <v>0</v>
      </c>
      <c r="F281" s="6">
        <f>0</f>
        <v>0</v>
      </c>
      <c r="G281" s="18" t="s">
        <v>8</v>
      </c>
      <c r="H281" s="21">
        <f>0</f>
        <v>0</v>
      </c>
    </row>
    <row r="282" spans="1:8" ht="22.5" customHeight="1" x14ac:dyDescent="0.25">
      <c r="A282" s="44"/>
      <c r="B282" s="35"/>
      <c r="C282" s="3" t="s">
        <v>18</v>
      </c>
      <c r="D282" s="3" t="s">
        <v>105</v>
      </c>
      <c r="E282" s="4">
        <f>E283+E284</f>
        <v>0</v>
      </c>
      <c r="F282" s="4">
        <f>F283+F284</f>
        <v>0</v>
      </c>
      <c r="G282" s="17" t="s">
        <v>8</v>
      </c>
      <c r="H282" s="20">
        <f>H283+H284</f>
        <v>0</v>
      </c>
    </row>
    <row r="283" spans="1:8" ht="22.5" customHeight="1" x14ac:dyDescent="0.25">
      <c r="A283" s="44"/>
      <c r="B283" s="35"/>
      <c r="C283" s="5" t="s">
        <v>505</v>
      </c>
      <c r="D283" s="5" t="s">
        <v>506</v>
      </c>
      <c r="E283" s="6">
        <f>0</f>
        <v>0</v>
      </c>
      <c r="F283" s="6">
        <f>0</f>
        <v>0</v>
      </c>
      <c r="G283" s="18" t="s">
        <v>8</v>
      </c>
      <c r="H283" s="21">
        <f>0</f>
        <v>0</v>
      </c>
    </row>
    <row r="284" spans="1:8" ht="22.5" customHeight="1" x14ac:dyDescent="0.25">
      <c r="A284" s="44"/>
      <c r="B284" s="35"/>
      <c r="C284" s="5" t="s">
        <v>507</v>
      </c>
      <c r="D284" s="5" t="s">
        <v>508</v>
      </c>
      <c r="E284" s="6">
        <f>0</f>
        <v>0</v>
      </c>
      <c r="F284" s="6">
        <f>0</f>
        <v>0</v>
      </c>
      <c r="G284" s="18" t="s">
        <v>8</v>
      </c>
      <c r="H284" s="21">
        <f>0</f>
        <v>0</v>
      </c>
    </row>
    <row r="285" spans="1:8" ht="22.5" customHeight="1" x14ac:dyDescent="0.25">
      <c r="A285" s="44"/>
      <c r="B285" s="35"/>
      <c r="C285" s="3" t="s">
        <v>22</v>
      </c>
      <c r="D285" s="3" t="s">
        <v>106</v>
      </c>
      <c r="E285" s="4">
        <f>E286</f>
        <v>6000</v>
      </c>
      <c r="F285" s="4">
        <f>F286</f>
        <v>0</v>
      </c>
      <c r="G285" s="17" t="s">
        <v>39</v>
      </c>
      <c r="H285" s="20">
        <f>H286</f>
        <v>0</v>
      </c>
    </row>
    <row r="286" spans="1:8" ht="22.5" customHeight="1" x14ac:dyDescent="0.25">
      <c r="A286" s="44"/>
      <c r="B286" s="35"/>
      <c r="C286" s="5" t="s">
        <v>31</v>
      </c>
      <c r="D286" s="5" t="s">
        <v>107</v>
      </c>
      <c r="E286" s="6">
        <f>E287+E288+E289</f>
        <v>6000</v>
      </c>
      <c r="F286" s="6">
        <f>F287+F288+F289</f>
        <v>0</v>
      </c>
      <c r="G286" s="18" t="s">
        <v>39</v>
      </c>
      <c r="H286" s="21">
        <f>H287+H288+H289</f>
        <v>0</v>
      </c>
    </row>
    <row r="287" spans="1:8" ht="22.5" customHeight="1" x14ac:dyDescent="0.25">
      <c r="A287" s="44"/>
      <c r="B287" s="35"/>
      <c r="C287" s="7" t="s">
        <v>200</v>
      </c>
      <c r="D287" s="5" t="s">
        <v>509</v>
      </c>
      <c r="E287" s="6">
        <f>6000</f>
        <v>6000</v>
      </c>
      <c r="F287" s="6">
        <f>0</f>
        <v>0</v>
      </c>
      <c r="G287" s="18" t="s">
        <v>39</v>
      </c>
      <c r="H287" s="21">
        <f>0</f>
        <v>0</v>
      </c>
    </row>
    <row r="288" spans="1:8" ht="22.5" customHeight="1" x14ac:dyDescent="0.25">
      <c r="A288" s="44"/>
      <c r="B288" s="35"/>
      <c r="C288" s="7" t="s">
        <v>202</v>
      </c>
      <c r="D288" s="5" t="s">
        <v>277</v>
      </c>
      <c r="E288" s="6">
        <f>0</f>
        <v>0</v>
      </c>
      <c r="F288" s="6">
        <f>0</f>
        <v>0</v>
      </c>
      <c r="G288" s="18" t="s">
        <v>8</v>
      </c>
      <c r="H288" s="21">
        <f>0</f>
        <v>0</v>
      </c>
    </row>
    <row r="289" spans="1:8" ht="22.5" customHeight="1" x14ac:dyDescent="0.25">
      <c r="A289" s="44"/>
      <c r="B289" s="35"/>
      <c r="C289" s="7" t="s">
        <v>203</v>
      </c>
      <c r="D289" s="5" t="s">
        <v>510</v>
      </c>
      <c r="E289" s="6">
        <f>0</f>
        <v>0</v>
      </c>
      <c r="F289" s="6">
        <f>0</f>
        <v>0</v>
      </c>
      <c r="G289" s="18" t="s">
        <v>8</v>
      </c>
      <c r="H289" s="21">
        <f>0</f>
        <v>0</v>
      </c>
    </row>
    <row r="290" spans="1:8" ht="22.5" customHeight="1" x14ac:dyDescent="0.25">
      <c r="A290" s="44"/>
      <c r="B290" s="35"/>
      <c r="C290" s="3" t="s">
        <v>25</v>
      </c>
      <c r="D290" s="3" t="s">
        <v>108</v>
      </c>
      <c r="E290" s="4">
        <f>E291+E292+E293+E294</f>
        <v>0</v>
      </c>
      <c r="F290" s="4">
        <f>F291+F292+F293+F294</f>
        <v>0</v>
      </c>
      <c r="G290" s="17" t="s">
        <v>8</v>
      </c>
      <c r="H290" s="20">
        <f>H291+H292+H293+H294</f>
        <v>0</v>
      </c>
    </row>
    <row r="291" spans="1:8" ht="22.5" customHeight="1" x14ac:dyDescent="0.25">
      <c r="A291" s="44"/>
      <c r="B291" s="35"/>
      <c r="C291" s="5" t="s">
        <v>19</v>
      </c>
      <c r="D291" s="5" t="s">
        <v>511</v>
      </c>
      <c r="E291" s="6">
        <f>0</f>
        <v>0</v>
      </c>
      <c r="F291" s="6">
        <f>0</f>
        <v>0</v>
      </c>
      <c r="G291" s="18" t="s">
        <v>8</v>
      </c>
      <c r="H291" s="21">
        <f>0</f>
        <v>0</v>
      </c>
    </row>
    <row r="292" spans="1:8" ht="22.5" customHeight="1" x14ac:dyDescent="0.25">
      <c r="A292" s="44"/>
      <c r="B292" s="35"/>
      <c r="C292" s="5" t="s">
        <v>512</v>
      </c>
      <c r="D292" s="5" t="s">
        <v>109</v>
      </c>
      <c r="E292" s="6">
        <f>0</f>
        <v>0</v>
      </c>
      <c r="F292" s="6">
        <f>0</f>
        <v>0</v>
      </c>
      <c r="G292" s="18" t="s">
        <v>8</v>
      </c>
      <c r="H292" s="21">
        <f>0</f>
        <v>0</v>
      </c>
    </row>
    <row r="293" spans="1:8" ht="22.5" customHeight="1" x14ac:dyDescent="0.25">
      <c r="A293" s="44"/>
      <c r="B293" s="35"/>
      <c r="C293" s="5" t="s">
        <v>507</v>
      </c>
      <c r="D293" s="5" t="s">
        <v>110</v>
      </c>
      <c r="E293" s="6">
        <f>0</f>
        <v>0</v>
      </c>
      <c r="F293" s="6">
        <f>0</f>
        <v>0</v>
      </c>
      <c r="G293" s="18" t="s">
        <v>8</v>
      </c>
      <c r="H293" s="21">
        <f>0</f>
        <v>0</v>
      </c>
    </row>
    <row r="294" spans="1:8" ht="22.5" customHeight="1" x14ac:dyDescent="0.25">
      <c r="A294" s="44"/>
      <c r="B294" s="35"/>
      <c r="C294" s="5" t="s">
        <v>513</v>
      </c>
      <c r="D294" s="5" t="s">
        <v>111</v>
      </c>
      <c r="E294" s="6">
        <f>0</f>
        <v>0</v>
      </c>
      <c r="F294" s="6">
        <f>0</f>
        <v>0</v>
      </c>
      <c r="G294" s="18" t="s">
        <v>8</v>
      </c>
      <c r="H294" s="21">
        <f>0</f>
        <v>0</v>
      </c>
    </row>
    <row r="295" spans="1:8" ht="22.5" customHeight="1" thickBot="1" x14ac:dyDescent="0.3">
      <c r="A295" s="41" t="s">
        <v>16</v>
      </c>
      <c r="B295" s="42"/>
      <c r="C295" s="42"/>
      <c r="D295" s="43"/>
      <c r="E295" s="30">
        <f>E266+E282+E285+E290</f>
        <v>121673.80000000002</v>
      </c>
      <c r="F295" s="27">
        <f>F266+F282+F285+F290</f>
        <v>0</v>
      </c>
      <c r="G295" s="31" t="s">
        <v>39</v>
      </c>
      <c r="H295" s="29">
        <f>H266+H282+H285+H290</f>
        <v>0</v>
      </c>
    </row>
    <row r="296" spans="1:8" ht="22.5" customHeight="1" x14ac:dyDescent="0.25">
      <c r="A296" s="35">
        <v>12</v>
      </c>
      <c r="B296" s="35" t="s">
        <v>112</v>
      </c>
      <c r="C296" s="32" t="s">
        <v>6</v>
      </c>
      <c r="D296" s="32" t="s">
        <v>514</v>
      </c>
      <c r="E296" s="4">
        <f>E297+E301+E303</f>
        <v>60378.06</v>
      </c>
      <c r="F296" s="4">
        <f>F297+F301+F303</f>
        <v>14849.059999999998</v>
      </c>
      <c r="G296" s="17" t="s">
        <v>386</v>
      </c>
      <c r="H296" s="22">
        <f>H297+H301+H303</f>
        <v>14849.059999999998</v>
      </c>
    </row>
    <row r="297" spans="1:8" ht="22.5" customHeight="1" x14ac:dyDescent="0.25">
      <c r="A297" s="35"/>
      <c r="B297" s="35"/>
      <c r="C297" s="5" t="s">
        <v>31</v>
      </c>
      <c r="D297" s="5" t="s">
        <v>515</v>
      </c>
      <c r="E297" s="6">
        <f>E298+E299+E300</f>
        <v>32659.75</v>
      </c>
      <c r="F297" s="6">
        <f>F298+F299+F300</f>
        <v>8387.619999999999</v>
      </c>
      <c r="G297" s="18" t="s">
        <v>516</v>
      </c>
      <c r="H297" s="21">
        <f>H298+H299+H300</f>
        <v>8387.619999999999</v>
      </c>
    </row>
    <row r="298" spans="1:8" ht="22.5" customHeight="1" x14ac:dyDescent="0.25">
      <c r="A298" s="35"/>
      <c r="B298" s="35"/>
      <c r="C298" s="7" t="s">
        <v>200</v>
      </c>
      <c r="D298" s="5" t="s">
        <v>113</v>
      </c>
      <c r="E298" s="6">
        <f>1958.5</f>
        <v>1958.5</v>
      </c>
      <c r="F298" s="6">
        <f>9.9</f>
        <v>9.9</v>
      </c>
      <c r="G298" s="18" t="s">
        <v>264</v>
      </c>
      <c r="H298" s="21">
        <f>9.9</f>
        <v>9.9</v>
      </c>
    </row>
    <row r="299" spans="1:8" ht="22.5" customHeight="1" x14ac:dyDescent="0.25">
      <c r="A299" s="35"/>
      <c r="B299" s="35"/>
      <c r="C299" s="7" t="s">
        <v>201</v>
      </c>
      <c r="D299" s="5" t="s">
        <v>114</v>
      </c>
      <c r="E299" s="6">
        <f>30000</f>
        <v>30000</v>
      </c>
      <c r="F299" s="6">
        <f>8377.72</f>
        <v>8377.7199999999993</v>
      </c>
      <c r="G299" s="18" t="s">
        <v>517</v>
      </c>
      <c r="H299" s="21">
        <f>8377.72</f>
        <v>8377.7199999999993</v>
      </c>
    </row>
    <row r="300" spans="1:8" ht="22.5" customHeight="1" x14ac:dyDescent="0.25">
      <c r="A300" s="35"/>
      <c r="B300" s="35"/>
      <c r="C300" s="7" t="s">
        <v>202</v>
      </c>
      <c r="D300" s="5" t="s">
        <v>518</v>
      </c>
      <c r="E300" s="6">
        <f>701.25</f>
        <v>701.25</v>
      </c>
      <c r="F300" s="6">
        <f>0</f>
        <v>0</v>
      </c>
      <c r="G300" s="18" t="s">
        <v>39</v>
      </c>
      <c r="H300" s="21">
        <f>0</f>
        <v>0</v>
      </c>
    </row>
    <row r="301" spans="1:8" ht="22.5" customHeight="1" x14ac:dyDescent="0.25">
      <c r="A301" s="35"/>
      <c r="B301" s="35"/>
      <c r="C301" s="5" t="s">
        <v>9</v>
      </c>
      <c r="D301" s="5" t="s">
        <v>115</v>
      </c>
      <c r="E301" s="6">
        <f>E302</f>
        <v>1031</v>
      </c>
      <c r="F301" s="6">
        <f>F302</f>
        <v>157.63</v>
      </c>
      <c r="G301" s="18" t="s">
        <v>317</v>
      </c>
      <c r="H301" s="21">
        <f>H302</f>
        <v>157.63</v>
      </c>
    </row>
    <row r="302" spans="1:8" ht="22.5" customHeight="1" x14ac:dyDescent="0.25">
      <c r="A302" s="35"/>
      <c r="B302" s="35"/>
      <c r="C302" s="7" t="s">
        <v>188</v>
      </c>
      <c r="D302" s="5" t="s">
        <v>519</v>
      </c>
      <c r="E302" s="6">
        <f>1031</f>
        <v>1031</v>
      </c>
      <c r="F302" s="6">
        <f>157.63</f>
        <v>157.63</v>
      </c>
      <c r="G302" s="18" t="s">
        <v>317</v>
      </c>
      <c r="H302" s="21">
        <f>157.63</f>
        <v>157.63</v>
      </c>
    </row>
    <row r="303" spans="1:8" ht="22.5" customHeight="1" x14ac:dyDescent="0.25">
      <c r="A303" s="35"/>
      <c r="B303" s="35"/>
      <c r="C303" s="5" t="s">
        <v>60</v>
      </c>
      <c r="D303" s="5" t="s">
        <v>35</v>
      </c>
      <c r="E303" s="6">
        <f>E304</f>
        <v>26687.31</v>
      </c>
      <c r="F303" s="6">
        <f>F304</f>
        <v>6303.81</v>
      </c>
      <c r="G303" s="18" t="s">
        <v>520</v>
      </c>
      <c r="H303" s="21">
        <f>H304</f>
        <v>6303.81</v>
      </c>
    </row>
    <row r="304" spans="1:8" ht="22.5" customHeight="1" x14ac:dyDescent="0.25">
      <c r="A304" s="35"/>
      <c r="B304" s="35"/>
      <c r="C304" s="7" t="s">
        <v>226</v>
      </c>
      <c r="D304" s="5" t="s">
        <v>116</v>
      </c>
      <c r="E304" s="6">
        <f>26687.31</f>
        <v>26687.31</v>
      </c>
      <c r="F304" s="6">
        <f>6303.81</f>
        <v>6303.81</v>
      </c>
      <c r="G304" s="18" t="s">
        <v>520</v>
      </c>
      <c r="H304" s="21">
        <f>6303.81</f>
        <v>6303.81</v>
      </c>
    </row>
    <row r="305" spans="1:8" ht="22.5" customHeight="1" x14ac:dyDescent="0.25">
      <c r="A305" s="35"/>
      <c r="B305" s="35"/>
      <c r="C305" s="3" t="s">
        <v>22</v>
      </c>
      <c r="D305" s="3" t="s">
        <v>118</v>
      </c>
      <c r="E305" s="4">
        <f>E306</f>
        <v>3000</v>
      </c>
      <c r="F305" s="4">
        <f>F306</f>
        <v>0</v>
      </c>
      <c r="G305" s="17" t="s">
        <v>39</v>
      </c>
      <c r="H305" s="20">
        <f>H306</f>
        <v>0</v>
      </c>
    </row>
    <row r="306" spans="1:8" ht="22.5" customHeight="1" x14ac:dyDescent="0.25">
      <c r="A306" s="35"/>
      <c r="B306" s="35"/>
      <c r="C306" s="5" t="s">
        <v>19</v>
      </c>
      <c r="D306" s="5" t="s">
        <v>521</v>
      </c>
      <c r="E306" s="6">
        <f>E307+E308</f>
        <v>3000</v>
      </c>
      <c r="F306" s="6">
        <f>F307+F308</f>
        <v>0</v>
      </c>
      <c r="G306" s="18" t="s">
        <v>39</v>
      </c>
      <c r="H306" s="21">
        <f>H307+H308</f>
        <v>0</v>
      </c>
    </row>
    <row r="307" spans="1:8" ht="22.5" customHeight="1" x14ac:dyDescent="0.25">
      <c r="A307" s="35"/>
      <c r="B307" s="35"/>
      <c r="C307" s="7" t="s">
        <v>190</v>
      </c>
      <c r="D307" s="5" t="s">
        <v>119</v>
      </c>
      <c r="E307" s="6">
        <f>0</f>
        <v>0</v>
      </c>
      <c r="F307" s="6">
        <f>0</f>
        <v>0</v>
      </c>
      <c r="G307" s="18" t="s">
        <v>8</v>
      </c>
      <c r="H307" s="21">
        <f>0</f>
        <v>0</v>
      </c>
    </row>
    <row r="308" spans="1:8" ht="22.5" customHeight="1" x14ac:dyDescent="0.25">
      <c r="A308" s="35"/>
      <c r="B308" s="35"/>
      <c r="C308" s="7" t="s">
        <v>191</v>
      </c>
      <c r="D308" s="5" t="s">
        <v>120</v>
      </c>
      <c r="E308" s="6">
        <f>3000</f>
        <v>3000</v>
      </c>
      <c r="F308" s="6">
        <f>0</f>
        <v>0</v>
      </c>
      <c r="G308" s="18" t="s">
        <v>39</v>
      </c>
      <c r="H308" s="21">
        <f>0</f>
        <v>0</v>
      </c>
    </row>
    <row r="309" spans="1:8" ht="22.5" customHeight="1" x14ac:dyDescent="0.25">
      <c r="A309" s="35"/>
      <c r="B309" s="35"/>
      <c r="C309" s="3" t="s">
        <v>25</v>
      </c>
      <c r="D309" s="3" t="s">
        <v>117</v>
      </c>
      <c r="E309" s="4">
        <f>E310+E311</f>
        <v>0</v>
      </c>
      <c r="F309" s="4">
        <f>F310+F311</f>
        <v>0</v>
      </c>
      <c r="G309" s="17" t="s">
        <v>8</v>
      </c>
      <c r="H309" s="20">
        <f>H310+H311</f>
        <v>0</v>
      </c>
    </row>
    <row r="310" spans="1:8" ht="22.5" customHeight="1" x14ac:dyDescent="0.25">
      <c r="A310" s="35"/>
      <c r="B310" s="35"/>
      <c r="C310" s="5" t="s">
        <v>505</v>
      </c>
      <c r="D310" s="5" t="s">
        <v>522</v>
      </c>
      <c r="E310" s="6">
        <f>0</f>
        <v>0</v>
      </c>
      <c r="F310" s="6">
        <f>0</f>
        <v>0</v>
      </c>
      <c r="G310" s="18" t="s">
        <v>8</v>
      </c>
      <c r="H310" s="21">
        <f>0</f>
        <v>0</v>
      </c>
    </row>
    <row r="311" spans="1:8" ht="22.5" customHeight="1" x14ac:dyDescent="0.25">
      <c r="A311" s="35"/>
      <c r="B311" s="35"/>
      <c r="C311" s="5" t="s">
        <v>512</v>
      </c>
      <c r="D311" s="5" t="s">
        <v>523</v>
      </c>
      <c r="E311" s="6">
        <f>0</f>
        <v>0</v>
      </c>
      <c r="F311" s="6">
        <f>0</f>
        <v>0</v>
      </c>
      <c r="G311" s="18" t="s">
        <v>8</v>
      </c>
      <c r="H311" s="21">
        <f>0</f>
        <v>0</v>
      </c>
    </row>
    <row r="312" spans="1:8" ht="22.5" customHeight="1" x14ac:dyDescent="0.25">
      <c r="A312" s="35"/>
      <c r="B312" s="35"/>
      <c r="C312" s="3" t="s">
        <v>11</v>
      </c>
      <c r="D312" s="3" t="s">
        <v>34</v>
      </c>
      <c r="E312" s="4">
        <f>E313+E322</f>
        <v>540812.32000000007</v>
      </c>
      <c r="F312" s="4">
        <f>F313+F322</f>
        <v>84736.27</v>
      </c>
      <c r="G312" s="17" t="s">
        <v>320</v>
      </c>
      <c r="H312" s="20">
        <f>H313+H322</f>
        <v>84736.27</v>
      </c>
    </row>
    <row r="313" spans="1:8" ht="22.5" customHeight="1" x14ac:dyDescent="0.25">
      <c r="A313" s="35"/>
      <c r="B313" s="35"/>
      <c r="C313" s="5" t="s">
        <v>19</v>
      </c>
      <c r="D313" s="5" t="s">
        <v>35</v>
      </c>
      <c r="E313" s="6">
        <f>E314+E315+E316+E317+E318+E319+E320+E321</f>
        <v>540712.32000000007</v>
      </c>
      <c r="F313" s="6">
        <f>F314+F315+F316+F317+F318+F319+F320+F321</f>
        <v>84736.27</v>
      </c>
      <c r="G313" s="18" t="s">
        <v>320</v>
      </c>
      <c r="H313" s="21">
        <f>H314+H315+H316+H317+H318+H319+H320+H321</f>
        <v>84736.27</v>
      </c>
    </row>
    <row r="314" spans="1:8" ht="22.5" customHeight="1" x14ac:dyDescent="0.25">
      <c r="A314" s="35"/>
      <c r="B314" s="35"/>
      <c r="C314" s="7" t="s">
        <v>190</v>
      </c>
      <c r="D314" s="5" t="s">
        <v>524</v>
      </c>
      <c r="E314" s="6">
        <f>4817.28</f>
        <v>4817.28</v>
      </c>
      <c r="F314" s="6">
        <f>1692.28</f>
        <v>1692.28</v>
      </c>
      <c r="G314" s="18" t="s">
        <v>525</v>
      </c>
      <c r="H314" s="21">
        <f>1692.28</f>
        <v>1692.28</v>
      </c>
    </row>
    <row r="315" spans="1:8" ht="22.5" customHeight="1" x14ac:dyDescent="0.25">
      <c r="A315" s="35"/>
      <c r="B315" s="35"/>
      <c r="C315" s="7" t="s">
        <v>191</v>
      </c>
      <c r="D315" s="5" t="s">
        <v>121</v>
      </c>
      <c r="E315" s="6">
        <f>332105.44</f>
        <v>332105.44</v>
      </c>
      <c r="F315" s="6">
        <f>43235.16</f>
        <v>43235.16</v>
      </c>
      <c r="G315" s="18" t="s">
        <v>296</v>
      </c>
      <c r="H315" s="21">
        <f>43235.16</f>
        <v>43235.16</v>
      </c>
    </row>
    <row r="316" spans="1:8" ht="22.5" customHeight="1" x14ac:dyDescent="0.25">
      <c r="A316" s="35"/>
      <c r="B316" s="35"/>
      <c r="C316" s="7" t="s">
        <v>195</v>
      </c>
      <c r="D316" s="5" t="s">
        <v>122</v>
      </c>
      <c r="E316" s="6">
        <f>31209.24</f>
        <v>31209.24</v>
      </c>
      <c r="F316" s="6">
        <f>5004.31</f>
        <v>5004.3100000000004</v>
      </c>
      <c r="G316" s="18" t="s">
        <v>319</v>
      </c>
      <c r="H316" s="21">
        <f>5004.31</f>
        <v>5004.3100000000004</v>
      </c>
    </row>
    <row r="317" spans="1:8" ht="22.5" customHeight="1" x14ac:dyDescent="0.25">
      <c r="A317" s="35"/>
      <c r="B317" s="35"/>
      <c r="C317" s="7" t="s">
        <v>208</v>
      </c>
      <c r="D317" s="5" t="s">
        <v>123</v>
      </c>
      <c r="E317" s="6">
        <f>78678.43</f>
        <v>78678.429999999993</v>
      </c>
      <c r="F317" s="6">
        <f>14949.94</f>
        <v>14949.94</v>
      </c>
      <c r="G317" s="18" t="s">
        <v>291</v>
      </c>
      <c r="H317" s="21">
        <f>14949.94</f>
        <v>14949.94</v>
      </c>
    </row>
    <row r="318" spans="1:8" ht="22.5" customHeight="1" x14ac:dyDescent="0.25">
      <c r="A318" s="35"/>
      <c r="B318" s="35"/>
      <c r="C318" s="7" t="s">
        <v>209</v>
      </c>
      <c r="D318" s="5" t="s">
        <v>124</v>
      </c>
      <c r="E318" s="6">
        <f>52359.27</f>
        <v>52359.27</v>
      </c>
      <c r="F318" s="6">
        <f>12000.81</f>
        <v>12000.81</v>
      </c>
      <c r="G318" s="18" t="s">
        <v>526</v>
      </c>
      <c r="H318" s="21">
        <f>12000.81</f>
        <v>12000.81</v>
      </c>
    </row>
    <row r="319" spans="1:8" ht="22.5" customHeight="1" x14ac:dyDescent="0.25">
      <c r="A319" s="35"/>
      <c r="B319" s="35"/>
      <c r="C319" s="7" t="s">
        <v>225</v>
      </c>
      <c r="D319" s="5" t="s">
        <v>125</v>
      </c>
      <c r="E319" s="6">
        <f>662</f>
        <v>662</v>
      </c>
      <c r="F319" s="6">
        <f>0</f>
        <v>0</v>
      </c>
      <c r="G319" s="18" t="s">
        <v>39</v>
      </c>
      <c r="H319" s="21">
        <f>0</f>
        <v>0</v>
      </c>
    </row>
    <row r="320" spans="1:8" ht="22.5" customHeight="1" x14ac:dyDescent="0.25">
      <c r="A320" s="35"/>
      <c r="B320" s="35"/>
      <c r="C320" s="7" t="s">
        <v>237</v>
      </c>
      <c r="D320" s="5" t="s">
        <v>527</v>
      </c>
      <c r="E320" s="6">
        <f>24783.3</f>
        <v>24783.3</v>
      </c>
      <c r="F320" s="6">
        <f>4945.39</f>
        <v>4945.3900000000003</v>
      </c>
      <c r="G320" s="18" t="s">
        <v>308</v>
      </c>
      <c r="H320" s="21">
        <f>4945.39</f>
        <v>4945.3900000000003</v>
      </c>
    </row>
    <row r="321" spans="1:8" ht="22.5" customHeight="1" x14ac:dyDescent="0.25">
      <c r="A321" s="35"/>
      <c r="B321" s="35"/>
      <c r="C321" s="7" t="s">
        <v>238</v>
      </c>
      <c r="D321" s="5" t="s">
        <v>528</v>
      </c>
      <c r="E321" s="6">
        <f>16097.36</f>
        <v>16097.36</v>
      </c>
      <c r="F321" s="6">
        <f>2908.38</f>
        <v>2908.38</v>
      </c>
      <c r="G321" s="18" t="s">
        <v>323</v>
      </c>
      <c r="H321" s="21">
        <f>2908.38</f>
        <v>2908.38</v>
      </c>
    </row>
    <row r="322" spans="1:8" ht="22.5" customHeight="1" x14ac:dyDescent="0.25">
      <c r="A322" s="35"/>
      <c r="B322" s="35"/>
      <c r="C322" s="5" t="s">
        <v>9</v>
      </c>
      <c r="D322" s="5" t="s">
        <v>529</v>
      </c>
      <c r="E322" s="6">
        <f>E323</f>
        <v>100</v>
      </c>
      <c r="F322" s="6">
        <f>F323</f>
        <v>0</v>
      </c>
      <c r="G322" s="18" t="s">
        <v>39</v>
      </c>
      <c r="H322" s="21">
        <f>H323</f>
        <v>0</v>
      </c>
    </row>
    <row r="323" spans="1:8" ht="22.5" customHeight="1" x14ac:dyDescent="0.25">
      <c r="A323" s="35"/>
      <c r="B323" s="35"/>
      <c r="C323" s="7" t="s">
        <v>188</v>
      </c>
      <c r="D323" s="5" t="s">
        <v>183</v>
      </c>
      <c r="E323" s="6">
        <f>100</f>
        <v>100</v>
      </c>
      <c r="F323" s="6">
        <f>0</f>
        <v>0</v>
      </c>
      <c r="G323" s="18" t="s">
        <v>39</v>
      </c>
      <c r="H323" s="21">
        <f>0</f>
        <v>0</v>
      </c>
    </row>
    <row r="324" spans="1:8" ht="22.5" customHeight="1" thickBot="1" x14ac:dyDescent="0.3">
      <c r="A324" s="41" t="s">
        <v>16</v>
      </c>
      <c r="B324" s="42"/>
      <c r="C324" s="42"/>
      <c r="D324" s="43"/>
      <c r="E324" s="30">
        <f>E296+E305+E309+E312</f>
        <v>604190.38000000012</v>
      </c>
      <c r="F324" s="27">
        <f>F296+F305+F309+F312</f>
        <v>99585.33</v>
      </c>
      <c r="G324" s="28" t="s">
        <v>274</v>
      </c>
      <c r="H324" s="29">
        <f>H296+H305+H309+H312</f>
        <v>99585.33</v>
      </c>
    </row>
    <row r="325" spans="1:8" ht="22.5" customHeight="1" x14ac:dyDescent="0.25">
      <c r="A325" s="37">
        <v>13</v>
      </c>
      <c r="B325" s="39" t="s">
        <v>126</v>
      </c>
      <c r="C325" s="3" t="s">
        <v>6</v>
      </c>
      <c r="D325" s="3" t="s">
        <v>620</v>
      </c>
      <c r="E325" s="4">
        <f>E326+E334</f>
        <v>58439.6</v>
      </c>
      <c r="F325" s="4">
        <f>F326+F334</f>
        <v>6783.53</v>
      </c>
      <c r="G325" s="17" t="s">
        <v>621</v>
      </c>
      <c r="H325" s="22">
        <f>H326+H334</f>
        <v>6783.53</v>
      </c>
    </row>
    <row r="326" spans="1:8" ht="22.5" customHeight="1" x14ac:dyDescent="0.25">
      <c r="A326" s="38"/>
      <c r="B326" s="40"/>
      <c r="C326" s="5" t="s">
        <v>19</v>
      </c>
      <c r="D326" s="5" t="s">
        <v>622</v>
      </c>
      <c r="E326" s="6">
        <f>E327+E328+E329+E330+E331+E332+E333</f>
        <v>53620</v>
      </c>
      <c r="F326" s="6">
        <f>F327+F328+F329+F330+F331+F332+F333</f>
        <v>6722.12</v>
      </c>
      <c r="G326" s="18" t="s">
        <v>623</v>
      </c>
      <c r="H326" s="21">
        <f>H327+H328+H329+H330+H331+H332+H333</f>
        <v>6722.12</v>
      </c>
    </row>
    <row r="327" spans="1:8" ht="22.5" customHeight="1" x14ac:dyDescent="0.25">
      <c r="A327" s="38"/>
      <c r="B327" s="40"/>
      <c r="C327" s="7" t="s">
        <v>190</v>
      </c>
      <c r="D327" s="5" t="s">
        <v>624</v>
      </c>
      <c r="E327" s="6">
        <f>0</f>
        <v>0</v>
      </c>
      <c r="F327" s="6">
        <f>0</f>
        <v>0</v>
      </c>
      <c r="G327" s="18" t="s">
        <v>8</v>
      </c>
      <c r="H327" s="21">
        <f>0</f>
        <v>0</v>
      </c>
    </row>
    <row r="328" spans="1:8" ht="22.5" customHeight="1" x14ac:dyDescent="0.25">
      <c r="A328" s="38"/>
      <c r="B328" s="40"/>
      <c r="C328" s="7" t="s">
        <v>191</v>
      </c>
      <c r="D328" s="5" t="s">
        <v>625</v>
      </c>
      <c r="E328" s="6">
        <f>1325</f>
        <v>1325</v>
      </c>
      <c r="F328" s="6">
        <f>17.5</f>
        <v>17.5</v>
      </c>
      <c r="G328" s="18" t="s">
        <v>626</v>
      </c>
      <c r="H328" s="21">
        <f>17.5</f>
        <v>17.5</v>
      </c>
    </row>
    <row r="329" spans="1:8" ht="22.5" customHeight="1" x14ac:dyDescent="0.25">
      <c r="A329" s="38"/>
      <c r="B329" s="40"/>
      <c r="C329" s="7" t="s">
        <v>199</v>
      </c>
      <c r="D329" s="5" t="s">
        <v>627</v>
      </c>
      <c r="E329" s="6">
        <f>43460</f>
        <v>43460</v>
      </c>
      <c r="F329" s="6">
        <f>5789.32</f>
        <v>5789.32</v>
      </c>
      <c r="G329" s="18" t="s">
        <v>628</v>
      </c>
      <c r="H329" s="21">
        <f>5789.32</f>
        <v>5789.32</v>
      </c>
    </row>
    <row r="330" spans="1:8" ht="22.5" customHeight="1" x14ac:dyDescent="0.25">
      <c r="A330" s="38"/>
      <c r="B330" s="40"/>
      <c r="C330" s="7" t="s">
        <v>194</v>
      </c>
      <c r="D330" s="5" t="s">
        <v>629</v>
      </c>
      <c r="E330" s="6">
        <f>0</f>
        <v>0</v>
      </c>
      <c r="F330" s="6">
        <f>0</f>
        <v>0</v>
      </c>
      <c r="G330" s="18" t="s">
        <v>8</v>
      </c>
      <c r="H330" s="21">
        <f>0</f>
        <v>0</v>
      </c>
    </row>
    <row r="331" spans="1:8" ht="22.5" customHeight="1" x14ac:dyDescent="0.25">
      <c r="A331" s="38"/>
      <c r="B331" s="40"/>
      <c r="C331" s="7" t="s">
        <v>195</v>
      </c>
      <c r="D331" s="5" t="s">
        <v>630</v>
      </c>
      <c r="E331" s="6">
        <f>6632.6</f>
        <v>6632.6</v>
      </c>
      <c r="F331" s="6">
        <f>629.91</f>
        <v>629.91</v>
      </c>
      <c r="G331" s="18" t="s">
        <v>631</v>
      </c>
      <c r="H331" s="21">
        <f>629.91</f>
        <v>629.91</v>
      </c>
    </row>
    <row r="332" spans="1:8" ht="22.5" customHeight="1" x14ac:dyDescent="0.25">
      <c r="A332" s="38"/>
      <c r="B332" s="40"/>
      <c r="C332" s="7" t="s">
        <v>208</v>
      </c>
      <c r="D332" s="5" t="s">
        <v>632</v>
      </c>
      <c r="E332" s="6">
        <f>720</f>
        <v>720</v>
      </c>
      <c r="F332" s="6">
        <f>120</f>
        <v>120</v>
      </c>
      <c r="G332" s="18" t="s">
        <v>287</v>
      </c>
      <c r="H332" s="21">
        <f>120</f>
        <v>120</v>
      </c>
    </row>
    <row r="333" spans="1:8" ht="22.5" customHeight="1" x14ac:dyDescent="0.25">
      <c r="A333" s="38"/>
      <c r="B333" s="40"/>
      <c r="C333" s="7" t="s">
        <v>209</v>
      </c>
      <c r="D333" s="5" t="s">
        <v>633</v>
      </c>
      <c r="E333" s="6">
        <f>1482.4</f>
        <v>1482.4</v>
      </c>
      <c r="F333" s="6">
        <f>165.39</f>
        <v>165.39</v>
      </c>
      <c r="G333" s="18" t="s">
        <v>634</v>
      </c>
      <c r="H333" s="21">
        <f>165.39</f>
        <v>165.39</v>
      </c>
    </row>
    <row r="334" spans="1:8" ht="22.5" customHeight="1" x14ac:dyDescent="0.25">
      <c r="A334" s="38"/>
      <c r="B334" s="40"/>
      <c r="C334" s="5" t="s">
        <v>95</v>
      </c>
      <c r="D334" s="5" t="s">
        <v>635</v>
      </c>
      <c r="E334" s="6">
        <f>E335+E336+E337</f>
        <v>4819.6000000000004</v>
      </c>
      <c r="F334" s="6">
        <f>F335+F336+F337</f>
        <v>61.410000000000004</v>
      </c>
      <c r="G334" s="18" t="s">
        <v>626</v>
      </c>
      <c r="H334" s="21">
        <f>H335+H336+H337</f>
        <v>61.410000000000004</v>
      </c>
    </row>
    <row r="335" spans="1:8" ht="22.5" customHeight="1" x14ac:dyDescent="0.25">
      <c r="A335" s="38"/>
      <c r="B335" s="40"/>
      <c r="C335" s="7" t="s">
        <v>636</v>
      </c>
      <c r="D335" s="5" t="s">
        <v>637</v>
      </c>
      <c r="E335" s="6">
        <f>1500</f>
        <v>1500</v>
      </c>
      <c r="F335" s="6">
        <f>50.02</f>
        <v>50.02</v>
      </c>
      <c r="G335" s="18" t="s">
        <v>290</v>
      </c>
      <c r="H335" s="21">
        <f>50.02</f>
        <v>50.02</v>
      </c>
    </row>
    <row r="336" spans="1:8" ht="22.5" customHeight="1" x14ac:dyDescent="0.25">
      <c r="A336" s="38"/>
      <c r="B336" s="40"/>
      <c r="C336" s="7" t="s">
        <v>228</v>
      </c>
      <c r="D336" s="5" t="s">
        <v>638</v>
      </c>
      <c r="E336" s="6">
        <f>2670.6</f>
        <v>2670.6</v>
      </c>
      <c r="F336" s="6">
        <f>11.39</f>
        <v>11.39</v>
      </c>
      <c r="G336" s="18" t="s">
        <v>639</v>
      </c>
      <c r="H336" s="21">
        <f>11.39</f>
        <v>11.39</v>
      </c>
    </row>
    <row r="337" spans="1:8" ht="22.5" customHeight="1" x14ac:dyDescent="0.25">
      <c r="A337" s="38"/>
      <c r="B337" s="40"/>
      <c r="C337" s="7" t="s">
        <v>227</v>
      </c>
      <c r="D337" s="5" t="s">
        <v>640</v>
      </c>
      <c r="E337" s="6">
        <f>649</f>
        <v>649</v>
      </c>
      <c r="F337" s="6">
        <f>0</f>
        <v>0</v>
      </c>
      <c r="G337" s="18" t="s">
        <v>39</v>
      </c>
      <c r="H337" s="21">
        <f>0</f>
        <v>0</v>
      </c>
    </row>
    <row r="338" spans="1:8" ht="22.5" customHeight="1" x14ac:dyDescent="0.25">
      <c r="A338" s="38"/>
      <c r="B338" s="40"/>
      <c r="C338" s="3" t="s">
        <v>25</v>
      </c>
      <c r="D338" s="3" t="s">
        <v>641</v>
      </c>
      <c r="E338" s="4">
        <f>E339+E341</f>
        <v>4190</v>
      </c>
      <c r="F338" s="4">
        <f>F339+F341</f>
        <v>0</v>
      </c>
      <c r="G338" s="17" t="s">
        <v>39</v>
      </c>
      <c r="H338" s="20">
        <f>H339+H341</f>
        <v>0</v>
      </c>
    </row>
    <row r="339" spans="1:8" ht="22.5" customHeight="1" x14ac:dyDescent="0.25">
      <c r="A339" s="38"/>
      <c r="B339" s="40"/>
      <c r="C339" s="5" t="s">
        <v>19</v>
      </c>
      <c r="D339" s="5" t="s">
        <v>642</v>
      </c>
      <c r="E339" s="6">
        <f>E340</f>
        <v>700</v>
      </c>
      <c r="F339" s="6">
        <f>F340</f>
        <v>0</v>
      </c>
      <c r="G339" s="18" t="s">
        <v>39</v>
      </c>
      <c r="H339" s="21">
        <f>H340</f>
        <v>0</v>
      </c>
    </row>
    <row r="340" spans="1:8" ht="22.5" customHeight="1" x14ac:dyDescent="0.25">
      <c r="A340" s="38"/>
      <c r="B340" s="40"/>
      <c r="C340" s="7" t="s">
        <v>190</v>
      </c>
      <c r="D340" s="5" t="s">
        <v>643</v>
      </c>
      <c r="E340" s="6">
        <f>700</f>
        <v>700</v>
      </c>
      <c r="F340" s="6">
        <f>0</f>
        <v>0</v>
      </c>
      <c r="G340" s="18" t="s">
        <v>39</v>
      </c>
      <c r="H340" s="21">
        <f>0</f>
        <v>0</v>
      </c>
    </row>
    <row r="341" spans="1:8" ht="22.5" customHeight="1" x14ac:dyDescent="0.25">
      <c r="A341" s="38"/>
      <c r="B341" s="40"/>
      <c r="C341" s="5" t="s">
        <v>31</v>
      </c>
      <c r="D341" s="5" t="s">
        <v>644</v>
      </c>
      <c r="E341" s="6">
        <f>E342</f>
        <v>3490</v>
      </c>
      <c r="F341" s="6">
        <f>F342</f>
        <v>0</v>
      </c>
      <c r="G341" s="18" t="s">
        <v>39</v>
      </c>
      <c r="H341" s="21">
        <f>H342</f>
        <v>0</v>
      </c>
    </row>
    <row r="342" spans="1:8" ht="22.5" customHeight="1" x14ac:dyDescent="0.25">
      <c r="A342" s="38"/>
      <c r="B342" s="40"/>
      <c r="C342" s="7" t="s">
        <v>201</v>
      </c>
      <c r="D342" s="5" t="s">
        <v>645</v>
      </c>
      <c r="E342" s="6">
        <f>3490</f>
        <v>3490</v>
      </c>
      <c r="F342" s="6">
        <f>0</f>
        <v>0</v>
      </c>
      <c r="G342" s="18" t="s">
        <v>39</v>
      </c>
      <c r="H342" s="21">
        <f>0</f>
        <v>0</v>
      </c>
    </row>
    <row r="343" spans="1:8" ht="22.5" customHeight="1" x14ac:dyDescent="0.25">
      <c r="A343" s="38"/>
      <c r="B343" s="40"/>
      <c r="C343" s="3" t="s">
        <v>11</v>
      </c>
      <c r="D343" s="3" t="s">
        <v>646</v>
      </c>
      <c r="E343" s="4">
        <f>E344</f>
        <v>0</v>
      </c>
      <c r="F343" s="4">
        <f>F344</f>
        <v>0</v>
      </c>
      <c r="G343" s="17" t="s">
        <v>8</v>
      </c>
      <c r="H343" s="20">
        <f>H344</f>
        <v>0</v>
      </c>
    </row>
    <row r="344" spans="1:8" ht="22.5" customHeight="1" x14ac:dyDescent="0.25">
      <c r="A344" s="38"/>
      <c r="B344" s="40"/>
      <c r="C344" s="5" t="s">
        <v>19</v>
      </c>
      <c r="D344" s="5" t="s">
        <v>647</v>
      </c>
      <c r="E344" s="6">
        <f>0</f>
        <v>0</v>
      </c>
      <c r="F344" s="6">
        <f>0</f>
        <v>0</v>
      </c>
      <c r="G344" s="18" t="s">
        <v>8</v>
      </c>
      <c r="H344" s="21">
        <f>0</f>
        <v>0</v>
      </c>
    </row>
    <row r="345" spans="1:8" ht="22.5" customHeight="1" x14ac:dyDescent="0.25">
      <c r="A345" s="38"/>
      <c r="B345" s="40"/>
      <c r="C345" s="3" t="s">
        <v>93</v>
      </c>
      <c r="D345" s="3" t="s">
        <v>34</v>
      </c>
      <c r="E345" s="4">
        <f>E346+E348</f>
        <v>8137.9800000000005</v>
      </c>
      <c r="F345" s="4">
        <f>F346+F348</f>
        <v>1233.22</v>
      </c>
      <c r="G345" s="17" t="s">
        <v>648</v>
      </c>
      <c r="H345" s="20">
        <f>H346+H348</f>
        <v>1233.22</v>
      </c>
    </row>
    <row r="346" spans="1:8" ht="22.5" customHeight="1" x14ac:dyDescent="0.25">
      <c r="A346" s="38"/>
      <c r="B346" s="40"/>
      <c r="C346" s="5" t="s">
        <v>9</v>
      </c>
      <c r="D346" s="5" t="s">
        <v>649</v>
      </c>
      <c r="E346" s="6">
        <f>E347</f>
        <v>8134.68</v>
      </c>
      <c r="F346" s="6">
        <f>F347</f>
        <v>1233.22</v>
      </c>
      <c r="G346" s="18" t="s">
        <v>454</v>
      </c>
      <c r="H346" s="21">
        <f>H347</f>
        <v>1233.22</v>
      </c>
    </row>
    <row r="347" spans="1:8" ht="22.5" customHeight="1" x14ac:dyDescent="0.25">
      <c r="A347" s="38"/>
      <c r="B347" s="40"/>
      <c r="C347" s="7" t="s">
        <v>188</v>
      </c>
      <c r="D347" s="5" t="s">
        <v>650</v>
      </c>
      <c r="E347" s="6">
        <f>8134.68</f>
        <v>8134.68</v>
      </c>
      <c r="F347" s="6">
        <f>1233.22</f>
        <v>1233.22</v>
      </c>
      <c r="G347" s="18" t="s">
        <v>454</v>
      </c>
      <c r="H347" s="21">
        <f>1233.22</f>
        <v>1233.22</v>
      </c>
    </row>
    <row r="348" spans="1:8" ht="22.5" customHeight="1" x14ac:dyDescent="0.25">
      <c r="A348" s="38"/>
      <c r="B348" s="40"/>
      <c r="C348" s="5" t="s">
        <v>60</v>
      </c>
      <c r="D348" s="5" t="s">
        <v>651</v>
      </c>
      <c r="E348" s="6">
        <f>E349</f>
        <v>3.3</v>
      </c>
      <c r="F348" s="6">
        <f>F349</f>
        <v>0</v>
      </c>
      <c r="G348" s="18" t="s">
        <v>39</v>
      </c>
      <c r="H348" s="21">
        <f>H349</f>
        <v>0</v>
      </c>
    </row>
    <row r="349" spans="1:8" ht="22.5" customHeight="1" x14ac:dyDescent="0.25">
      <c r="A349" s="38"/>
      <c r="B349" s="40"/>
      <c r="C349" s="7" t="s">
        <v>226</v>
      </c>
      <c r="D349" s="5" t="s">
        <v>652</v>
      </c>
      <c r="E349" s="6">
        <f>3.3</f>
        <v>3.3</v>
      </c>
      <c r="F349" s="6">
        <f>0</f>
        <v>0</v>
      </c>
      <c r="G349" s="18" t="s">
        <v>39</v>
      </c>
      <c r="H349" s="21">
        <f>0</f>
        <v>0</v>
      </c>
    </row>
    <row r="350" spans="1:8" ht="22.5" customHeight="1" thickBot="1" x14ac:dyDescent="0.3">
      <c r="A350" s="48" t="s">
        <v>16</v>
      </c>
      <c r="B350" s="49"/>
      <c r="C350" s="49"/>
      <c r="D350" s="49"/>
      <c r="E350" s="30">
        <f>E325+E338+E343+E345</f>
        <v>70767.58</v>
      </c>
      <c r="F350" s="27">
        <f>F325+F338+F343+F345</f>
        <v>8016.75</v>
      </c>
      <c r="G350" s="28" t="s">
        <v>653</v>
      </c>
      <c r="H350" s="29">
        <f>H325+H338+H343+H345</f>
        <v>8016.75</v>
      </c>
    </row>
    <row r="351" spans="1:8" ht="22.5" customHeight="1" x14ac:dyDescent="0.25">
      <c r="A351" s="45">
        <v>14</v>
      </c>
      <c r="B351" s="47" t="s">
        <v>127</v>
      </c>
      <c r="C351" s="3" t="s">
        <v>6</v>
      </c>
      <c r="D351" s="3" t="s">
        <v>128</v>
      </c>
      <c r="E351" s="4">
        <f>E352</f>
        <v>188923.91</v>
      </c>
      <c r="F351" s="4">
        <f>F352</f>
        <v>79623.549999999988</v>
      </c>
      <c r="G351" s="17" t="s">
        <v>530</v>
      </c>
      <c r="H351" s="22">
        <f>H352</f>
        <v>79623.549999999988</v>
      </c>
    </row>
    <row r="352" spans="1:8" ht="22.5" customHeight="1" x14ac:dyDescent="0.25">
      <c r="A352" s="46"/>
      <c r="B352" s="40"/>
      <c r="C352" s="5" t="s">
        <v>26</v>
      </c>
      <c r="D352" s="5" t="s">
        <v>531</v>
      </c>
      <c r="E352" s="6">
        <f>E353+E354</f>
        <v>188923.91</v>
      </c>
      <c r="F352" s="6">
        <f>F353+F354</f>
        <v>79623.549999999988</v>
      </c>
      <c r="G352" s="18" t="s">
        <v>530</v>
      </c>
      <c r="H352" s="21">
        <f>H353+H354</f>
        <v>79623.549999999988</v>
      </c>
    </row>
    <row r="353" spans="1:8" ht="22.5" customHeight="1" x14ac:dyDescent="0.25">
      <c r="A353" s="46"/>
      <c r="B353" s="40"/>
      <c r="C353" s="7" t="s">
        <v>197</v>
      </c>
      <c r="D353" s="5" t="s">
        <v>532</v>
      </c>
      <c r="E353" s="6">
        <f>45502.65+143305.03</f>
        <v>188807.67999999999</v>
      </c>
      <c r="F353" s="6">
        <f>19166.87+60363.7</f>
        <v>79530.569999999992</v>
      </c>
      <c r="G353" s="18" t="s">
        <v>530</v>
      </c>
      <c r="H353" s="21">
        <f>19166.87+60363.7</f>
        <v>79530.569999999992</v>
      </c>
    </row>
    <row r="354" spans="1:8" ht="22.5" customHeight="1" x14ac:dyDescent="0.25">
      <c r="A354" s="46"/>
      <c r="B354" s="40"/>
      <c r="C354" s="7" t="s">
        <v>198</v>
      </c>
      <c r="D354" s="5" t="s">
        <v>533</v>
      </c>
      <c r="E354" s="6">
        <v>116.23</v>
      </c>
      <c r="F354" s="6">
        <v>92.98</v>
      </c>
      <c r="G354" s="18" t="s">
        <v>534</v>
      </c>
      <c r="H354" s="21">
        <v>92.98</v>
      </c>
    </row>
    <row r="355" spans="1:8" ht="22.5" customHeight="1" x14ac:dyDescent="0.25">
      <c r="A355" s="46"/>
      <c r="B355" s="40"/>
      <c r="C355" s="3" t="s">
        <v>18</v>
      </c>
      <c r="D355" s="3" t="s">
        <v>129</v>
      </c>
      <c r="E355" s="4">
        <f>E356+E357</f>
        <v>157485.68</v>
      </c>
      <c r="F355" s="4">
        <f>F356+F357</f>
        <v>20221.3</v>
      </c>
      <c r="G355" s="17" t="s">
        <v>286</v>
      </c>
      <c r="H355" s="20">
        <f>H356+H357</f>
        <v>20221.3</v>
      </c>
    </row>
    <row r="356" spans="1:8" ht="22.5" customHeight="1" x14ac:dyDescent="0.25">
      <c r="A356" s="46"/>
      <c r="B356" s="40"/>
      <c r="C356" s="5" t="s">
        <v>31</v>
      </c>
      <c r="D356" s="5" t="s">
        <v>130</v>
      </c>
      <c r="E356" s="6">
        <f>0</f>
        <v>0</v>
      </c>
      <c r="F356" s="6">
        <f>0</f>
        <v>0</v>
      </c>
      <c r="G356" s="18" t="s">
        <v>8</v>
      </c>
      <c r="H356" s="21">
        <f>0</f>
        <v>0</v>
      </c>
    </row>
    <row r="357" spans="1:8" ht="22.5" customHeight="1" x14ac:dyDescent="0.25">
      <c r="A357" s="46"/>
      <c r="B357" s="40"/>
      <c r="C357" s="5" t="s">
        <v>60</v>
      </c>
      <c r="D357" s="5" t="s">
        <v>131</v>
      </c>
      <c r="E357" s="6">
        <f>E358+E359+E360+E361+E365</f>
        <v>157485.68</v>
      </c>
      <c r="F357" s="6">
        <f>F358+F359+F360+F361+F365</f>
        <v>20221.3</v>
      </c>
      <c r="G357" s="18" t="s">
        <v>286</v>
      </c>
      <c r="H357" s="21">
        <f>H358+H359+H360+H361+H365</f>
        <v>20221.3</v>
      </c>
    </row>
    <row r="358" spans="1:8" ht="22.5" customHeight="1" x14ac:dyDescent="0.25">
      <c r="A358" s="46"/>
      <c r="B358" s="40"/>
      <c r="C358" s="7" t="s">
        <v>226</v>
      </c>
      <c r="D358" s="5" t="s">
        <v>535</v>
      </c>
      <c r="E358" s="6">
        <f>22813+75944</f>
        <v>98757</v>
      </c>
      <c r="F358" s="6">
        <f>2102.92+7000.63</f>
        <v>9103.5499999999993</v>
      </c>
      <c r="G358" s="18" t="s">
        <v>536</v>
      </c>
      <c r="H358" s="21">
        <f>2102.92+7000.63</f>
        <v>9103.5499999999993</v>
      </c>
    </row>
    <row r="359" spans="1:8" ht="22.5" customHeight="1" x14ac:dyDescent="0.25">
      <c r="A359" s="46"/>
      <c r="B359" s="40"/>
      <c r="C359" s="7" t="s">
        <v>222</v>
      </c>
      <c r="D359" s="5" t="s">
        <v>179</v>
      </c>
      <c r="E359" s="6">
        <f>1263.4</f>
        <v>1263.4000000000001</v>
      </c>
      <c r="F359" s="6">
        <f>0</f>
        <v>0</v>
      </c>
      <c r="G359" s="18" t="s">
        <v>39</v>
      </c>
      <c r="H359" s="21">
        <f>0</f>
        <v>0</v>
      </c>
    </row>
    <row r="360" spans="1:8" ht="22.5" customHeight="1" x14ac:dyDescent="0.25">
      <c r="A360" s="46"/>
      <c r="B360" s="40"/>
      <c r="C360" s="7" t="s">
        <v>537</v>
      </c>
      <c r="D360" s="5" t="s">
        <v>134</v>
      </c>
      <c r="E360" s="6">
        <f>0</f>
        <v>0</v>
      </c>
      <c r="F360" s="6">
        <f>0</f>
        <v>0</v>
      </c>
      <c r="G360" s="18" t="s">
        <v>8</v>
      </c>
      <c r="H360" s="21">
        <f>0</f>
        <v>0</v>
      </c>
    </row>
    <row r="361" spans="1:8" ht="22.5" customHeight="1" x14ac:dyDescent="0.25">
      <c r="A361" s="46"/>
      <c r="B361" s="40"/>
      <c r="C361" s="7" t="s">
        <v>538</v>
      </c>
      <c r="D361" s="5" t="s">
        <v>132</v>
      </c>
      <c r="E361" s="6">
        <f>E362+E363+E364</f>
        <v>53541.97</v>
      </c>
      <c r="F361" s="6">
        <f>F362+F363+F364</f>
        <v>11117.75</v>
      </c>
      <c r="G361" s="18" t="s">
        <v>271</v>
      </c>
      <c r="H361" s="21">
        <f>H362+H363+H364</f>
        <v>11117.75</v>
      </c>
    </row>
    <row r="362" spans="1:8" ht="22.5" customHeight="1" x14ac:dyDescent="0.25">
      <c r="A362" s="46"/>
      <c r="B362" s="40"/>
      <c r="C362" s="7" t="s">
        <v>539</v>
      </c>
      <c r="D362" s="5" t="s">
        <v>540</v>
      </c>
      <c r="E362" s="6">
        <f>9732</f>
        <v>9732</v>
      </c>
      <c r="F362" s="6">
        <f>66.57</f>
        <v>66.569999999999993</v>
      </c>
      <c r="G362" s="18" t="s">
        <v>541</v>
      </c>
      <c r="H362" s="21">
        <f>66.57</f>
        <v>66.569999999999993</v>
      </c>
    </row>
    <row r="363" spans="1:8" ht="22.5" customHeight="1" x14ac:dyDescent="0.25">
      <c r="A363" s="46"/>
      <c r="B363" s="40"/>
      <c r="C363" s="7" t="s">
        <v>542</v>
      </c>
      <c r="D363" s="5" t="s">
        <v>543</v>
      </c>
      <c r="E363" s="6">
        <f>2000</f>
        <v>2000</v>
      </c>
      <c r="F363" s="6">
        <f>598.69</f>
        <v>598.69000000000005</v>
      </c>
      <c r="G363" s="18" t="s">
        <v>544</v>
      </c>
      <c r="H363" s="21">
        <f>598.69</f>
        <v>598.69000000000005</v>
      </c>
    </row>
    <row r="364" spans="1:8" ht="22.5" customHeight="1" x14ac:dyDescent="0.25">
      <c r="A364" s="46"/>
      <c r="B364" s="40"/>
      <c r="C364" s="7" t="s">
        <v>545</v>
      </c>
      <c r="D364" s="5" t="s">
        <v>546</v>
      </c>
      <c r="E364" s="6">
        <f>41809.97</f>
        <v>41809.97</v>
      </c>
      <c r="F364" s="6">
        <f>10452.49</f>
        <v>10452.49</v>
      </c>
      <c r="G364" s="18" t="s">
        <v>267</v>
      </c>
      <c r="H364" s="21">
        <f>10452.49</f>
        <v>10452.49</v>
      </c>
    </row>
    <row r="365" spans="1:8" ht="22.5" customHeight="1" x14ac:dyDescent="0.25">
      <c r="A365" s="46"/>
      <c r="B365" s="40"/>
      <c r="C365" s="7" t="s">
        <v>547</v>
      </c>
      <c r="D365" s="5" t="s">
        <v>133</v>
      </c>
      <c r="E365" s="6">
        <f>3923.31</f>
        <v>3923.31</v>
      </c>
      <c r="F365" s="6">
        <f>0</f>
        <v>0</v>
      </c>
      <c r="G365" s="18" t="s">
        <v>39</v>
      </c>
      <c r="H365" s="21">
        <f>0</f>
        <v>0</v>
      </c>
    </row>
    <row r="366" spans="1:8" ht="22.5" customHeight="1" x14ac:dyDescent="0.25">
      <c r="A366" s="46"/>
      <c r="B366" s="40"/>
      <c r="C366" s="3" t="s">
        <v>11</v>
      </c>
      <c r="D366" s="3" t="s">
        <v>34</v>
      </c>
      <c r="E366" s="4">
        <f>E367</f>
        <v>123760.17</v>
      </c>
      <c r="F366" s="4">
        <f>F367</f>
        <v>23701.71</v>
      </c>
      <c r="G366" s="17" t="s">
        <v>318</v>
      </c>
      <c r="H366" s="20">
        <f>H367</f>
        <v>23701.71</v>
      </c>
    </row>
    <row r="367" spans="1:8" ht="22.5" customHeight="1" x14ac:dyDescent="0.25">
      <c r="A367" s="46"/>
      <c r="B367" s="40"/>
      <c r="C367" s="5" t="s">
        <v>19</v>
      </c>
      <c r="D367" s="5" t="s">
        <v>35</v>
      </c>
      <c r="E367" s="6">
        <f>E368</f>
        <v>123760.17</v>
      </c>
      <c r="F367" s="6">
        <f>F368</f>
        <v>23701.71</v>
      </c>
      <c r="G367" s="18" t="s">
        <v>318</v>
      </c>
      <c r="H367" s="21">
        <f>H368</f>
        <v>23701.71</v>
      </c>
    </row>
    <row r="368" spans="1:8" ht="22.5" customHeight="1" x14ac:dyDescent="0.25">
      <c r="A368" s="46"/>
      <c r="B368" s="40"/>
      <c r="C368" s="7" t="s">
        <v>191</v>
      </c>
      <c r="D368" s="5" t="s">
        <v>135</v>
      </c>
      <c r="E368" s="6">
        <f>E369+E370</f>
        <v>123760.17</v>
      </c>
      <c r="F368" s="6">
        <f>F369+F370</f>
        <v>23701.71</v>
      </c>
      <c r="G368" s="18" t="s">
        <v>318</v>
      </c>
      <c r="H368" s="21">
        <f>H369+H370</f>
        <v>23701.71</v>
      </c>
    </row>
    <row r="369" spans="1:8" ht="22.5" customHeight="1" x14ac:dyDescent="0.25">
      <c r="A369" s="46"/>
      <c r="B369" s="40"/>
      <c r="C369" s="7" t="s">
        <v>192</v>
      </c>
      <c r="D369" s="5" t="s">
        <v>548</v>
      </c>
      <c r="E369" s="6">
        <f>101990.17</f>
        <v>101990.17</v>
      </c>
      <c r="F369" s="6">
        <f>20561.75</f>
        <v>20561.75</v>
      </c>
      <c r="G369" s="18" t="s">
        <v>388</v>
      </c>
      <c r="H369" s="21">
        <f>20561.75</f>
        <v>20561.75</v>
      </c>
    </row>
    <row r="370" spans="1:8" ht="22.5" customHeight="1" x14ac:dyDescent="0.25">
      <c r="A370" s="46"/>
      <c r="B370" s="40"/>
      <c r="C370" s="7" t="s">
        <v>193</v>
      </c>
      <c r="D370" s="5" t="s">
        <v>549</v>
      </c>
      <c r="E370" s="6">
        <f>21770</f>
        <v>21770</v>
      </c>
      <c r="F370" s="6">
        <f>3139.96</f>
        <v>3139.96</v>
      </c>
      <c r="G370" s="18" t="s">
        <v>322</v>
      </c>
      <c r="H370" s="21">
        <f>3139.96</f>
        <v>3139.96</v>
      </c>
    </row>
    <row r="371" spans="1:8" ht="22.5" customHeight="1" thickBot="1" x14ac:dyDescent="0.3">
      <c r="A371" s="33" t="s">
        <v>16</v>
      </c>
      <c r="B371" s="34"/>
      <c r="C371" s="34"/>
      <c r="D371" s="34"/>
      <c r="E371" s="30">
        <f>E351+E355+E366</f>
        <v>470169.75999999995</v>
      </c>
      <c r="F371" s="27">
        <f>F351+F355+F366</f>
        <v>123546.56</v>
      </c>
      <c r="G371" s="28" t="s">
        <v>550</v>
      </c>
      <c r="H371" s="29">
        <f>H351+H355+H366</f>
        <v>123546.56</v>
      </c>
    </row>
    <row r="372" spans="1:8" ht="22.5" customHeight="1" x14ac:dyDescent="0.25">
      <c r="A372" s="44">
        <v>15</v>
      </c>
      <c r="B372" s="35" t="s">
        <v>136</v>
      </c>
      <c r="C372" s="3" t="s">
        <v>6</v>
      </c>
      <c r="D372" s="3" t="s">
        <v>551</v>
      </c>
      <c r="E372" s="4">
        <f>E373+E374</f>
        <v>799</v>
      </c>
      <c r="F372" s="4">
        <f>F373+F374</f>
        <v>0</v>
      </c>
      <c r="G372" s="17" t="s">
        <v>39</v>
      </c>
      <c r="H372" s="22">
        <f>H373+H374</f>
        <v>0</v>
      </c>
    </row>
    <row r="373" spans="1:8" ht="22.5" customHeight="1" x14ac:dyDescent="0.25">
      <c r="A373" s="44"/>
      <c r="B373" s="35"/>
      <c r="C373" s="5" t="s">
        <v>19</v>
      </c>
      <c r="D373" s="5" t="s">
        <v>137</v>
      </c>
      <c r="E373" s="6">
        <f>0</f>
        <v>0</v>
      </c>
      <c r="F373" s="6">
        <f>0</f>
        <v>0</v>
      </c>
      <c r="G373" s="18" t="s">
        <v>8</v>
      </c>
      <c r="H373" s="21">
        <f>0</f>
        <v>0</v>
      </c>
    </row>
    <row r="374" spans="1:8" ht="22.5" customHeight="1" x14ac:dyDescent="0.25">
      <c r="A374" s="44"/>
      <c r="B374" s="35"/>
      <c r="C374" s="5" t="s">
        <v>31</v>
      </c>
      <c r="D374" s="5" t="s">
        <v>140</v>
      </c>
      <c r="E374" s="6">
        <f>E375</f>
        <v>799</v>
      </c>
      <c r="F374" s="6">
        <f>F375</f>
        <v>0</v>
      </c>
      <c r="G374" s="18" t="s">
        <v>39</v>
      </c>
      <c r="H374" s="21">
        <f>H375</f>
        <v>0</v>
      </c>
    </row>
    <row r="375" spans="1:8" ht="22.5" customHeight="1" x14ac:dyDescent="0.25">
      <c r="A375" s="44"/>
      <c r="B375" s="35"/>
      <c r="C375" s="7" t="s">
        <v>200</v>
      </c>
      <c r="D375" s="5" t="s">
        <v>552</v>
      </c>
      <c r="E375" s="6">
        <f>185+614</f>
        <v>799</v>
      </c>
      <c r="F375" s="6">
        <v>0</v>
      </c>
      <c r="G375" s="18" t="s">
        <v>39</v>
      </c>
      <c r="H375" s="21">
        <v>0</v>
      </c>
    </row>
    <row r="376" spans="1:8" ht="22.5" customHeight="1" x14ac:dyDescent="0.25">
      <c r="A376" s="44"/>
      <c r="B376" s="35"/>
      <c r="C376" s="3" t="s">
        <v>18</v>
      </c>
      <c r="D376" s="3" t="s">
        <v>141</v>
      </c>
      <c r="E376" s="4">
        <f>E377+E383+E385+E389</f>
        <v>29132.002710000001</v>
      </c>
      <c r="F376" s="4">
        <f>F377+F383+F385+F389</f>
        <v>1032.3743400000001</v>
      </c>
      <c r="G376" s="17" t="s">
        <v>401</v>
      </c>
      <c r="H376" s="20">
        <f>H377+H383+H385+H389</f>
        <v>1032.3743400000001</v>
      </c>
    </row>
    <row r="377" spans="1:8" ht="22.5" customHeight="1" x14ac:dyDescent="0.25">
      <c r="A377" s="44"/>
      <c r="B377" s="35"/>
      <c r="C377" s="5" t="s">
        <v>19</v>
      </c>
      <c r="D377" s="5" t="s">
        <v>142</v>
      </c>
      <c r="E377" s="6">
        <f>E378+E379+E380+E381+E382</f>
        <v>15228.62746</v>
      </c>
      <c r="F377" s="6">
        <f>F378+F379+F380+F381+F382</f>
        <v>676.54766000000006</v>
      </c>
      <c r="G377" s="18" t="s">
        <v>553</v>
      </c>
      <c r="H377" s="21">
        <f>H378+H379+H380+H381+H382</f>
        <v>676.54766000000006</v>
      </c>
    </row>
    <row r="378" spans="1:8" ht="22.5" customHeight="1" x14ac:dyDescent="0.25">
      <c r="A378" s="44"/>
      <c r="B378" s="35"/>
      <c r="C378" s="7" t="s">
        <v>190</v>
      </c>
      <c r="D378" s="5" t="s">
        <v>143</v>
      </c>
      <c r="E378" s="6">
        <f>0</f>
        <v>0</v>
      </c>
      <c r="F378" s="6">
        <f>0</f>
        <v>0</v>
      </c>
      <c r="G378" s="18" t="s">
        <v>8</v>
      </c>
      <c r="H378" s="21">
        <f>0</f>
        <v>0</v>
      </c>
    </row>
    <row r="379" spans="1:8" ht="22.5" customHeight="1" x14ac:dyDescent="0.25">
      <c r="A379" s="44"/>
      <c r="B379" s="35"/>
      <c r="C379" s="7" t="s">
        <v>191</v>
      </c>
      <c r="D379" s="5" t="s">
        <v>144</v>
      </c>
      <c r="E379" s="6">
        <f>1378.62746</f>
        <v>1378.6274599999999</v>
      </c>
      <c r="F379" s="6">
        <f>98.35766</f>
        <v>98.357659999999996</v>
      </c>
      <c r="G379" s="18" t="s">
        <v>554</v>
      </c>
      <c r="H379" s="21">
        <f>98.35766</f>
        <v>98.357659999999996</v>
      </c>
    </row>
    <row r="380" spans="1:8" ht="22.5" customHeight="1" x14ac:dyDescent="0.25">
      <c r="A380" s="44"/>
      <c r="B380" s="35"/>
      <c r="C380" s="7" t="s">
        <v>199</v>
      </c>
      <c r="D380" s="5" t="s">
        <v>555</v>
      </c>
      <c r="E380" s="6">
        <f>0</f>
        <v>0</v>
      </c>
      <c r="F380" s="6">
        <f>0</f>
        <v>0</v>
      </c>
      <c r="G380" s="18" t="s">
        <v>8</v>
      </c>
      <c r="H380" s="21">
        <f>0</f>
        <v>0</v>
      </c>
    </row>
    <row r="381" spans="1:8" ht="22.5" customHeight="1" x14ac:dyDescent="0.25">
      <c r="A381" s="44"/>
      <c r="B381" s="35"/>
      <c r="C381" s="7" t="s">
        <v>194</v>
      </c>
      <c r="D381" s="5" t="s">
        <v>145</v>
      </c>
      <c r="E381" s="6">
        <f>13850</f>
        <v>13850</v>
      </c>
      <c r="F381" s="6">
        <f>578.19</f>
        <v>578.19000000000005</v>
      </c>
      <c r="G381" s="18" t="s">
        <v>556</v>
      </c>
      <c r="H381" s="21">
        <f>578.19</f>
        <v>578.19000000000005</v>
      </c>
    </row>
    <row r="382" spans="1:8" ht="22.5" customHeight="1" x14ac:dyDescent="0.25">
      <c r="A382" s="44"/>
      <c r="B382" s="35"/>
      <c r="C382" s="7" t="s">
        <v>195</v>
      </c>
      <c r="D382" s="5" t="s">
        <v>557</v>
      </c>
      <c r="E382" s="6">
        <f>0</f>
        <v>0</v>
      </c>
      <c r="F382" s="6">
        <f>0</f>
        <v>0</v>
      </c>
      <c r="G382" s="18" t="s">
        <v>8</v>
      </c>
      <c r="H382" s="21">
        <f>0</f>
        <v>0</v>
      </c>
    </row>
    <row r="383" spans="1:8" ht="22.5" customHeight="1" x14ac:dyDescent="0.25">
      <c r="A383" s="44"/>
      <c r="B383" s="35"/>
      <c r="C383" s="5" t="s">
        <v>31</v>
      </c>
      <c r="D383" s="5" t="s">
        <v>146</v>
      </c>
      <c r="E383" s="6">
        <f>E384</f>
        <v>1350</v>
      </c>
      <c r="F383" s="6">
        <f>F384</f>
        <v>0</v>
      </c>
      <c r="G383" s="18" t="s">
        <v>39</v>
      </c>
      <c r="H383" s="21">
        <f>H384</f>
        <v>0</v>
      </c>
    </row>
    <row r="384" spans="1:8" ht="22.5" customHeight="1" x14ac:dyDescent="0.25">
      <c r="A384" s="44"/>
      <c r="B384" s="35"/>
      <c r="C384" s="7" t="s">
        <v>200</v>
      </c>
      <c r="D384" s="5" t="s">
        <v>147</v>
      </c>
      <c r="E384" s="6">
        <f>1350</f>
        <v>1350</v>
      </c>
      <c r="F384" s="6">
        <f>0</f>
        <v>0</v>
      </c>
      <c r="G384" s="18" t="s">
        <v>39</v>
      </c>
      <c r="H384" s="21">
        <f>0</f>
        <v>0</v>
      </c>
    </row>
    <row r="385" spans="1:8" ht="22.5" customHeight="1" x14ac:dyDescent="0.25">
      <c r="A385" s="44"/>
      <c r="B385" s="35"/>
      <c r="C385" s="5" t="s">
        <v>9</v>
      </c>
      <c r="D385" s="5" t="s">
        <v>148</v>
      </c>
      <c r="E385" s="6">
        <f>E386+E387+E388</f>
        <v>2723</v>
      </c>
      <c r="F385" s="6">
        <f>F386+F387+F388</f>
        <v>355.82668000000001</v>
      </c>
      <c r="G385" s="18" t="s">
        <v>296</v>
      </c>
      <c r="H385" s="21">
        <f>H386+H387+H388</f>
        <v>355.82668000000001</v>
      </c>
    </row>
    <row r="386" spans="1:8" ht="22.5" customHeight="1" x14ac:dyDescent="0.25">
      <c r="A386" s="44"/>
      <c r="B386" s="35"/>
      <c r="C386" s="7" t="s">
        <v>188</v>
      </c>
      <c r="D386" s="5" t="s">
        <v>149</v>
      </c>
      <c r="E386" s="6">
        <f>950</f>
        <v>950</v>
      </c>
      <c r="F386" s="6">
        <f>0</f>
        <v>0</v>
      </c>
      <c r="G386" s="18" t="s">
        <v>39</v>
      </c>
      <c r="H386" s="21">
        <f>0</f>
        <v>0</v>
      </c>
    </row>
    <row r="387" spans="1:8" ht="22.5" customHeight="1" x14ac:dyDescent="0.25">
      <c r="A387" s="44"/>
      <c r="B387" s="35"/>
      <c r="C387" s="7" t="s">
        <v>189</v>
      </c>
      <c r="D387" s="5" t="s">
        <v>150</v>
      </c>
      <c r="E387" s="6">
        <f>170</f>
        <v>170</v>
      </c>
      <c r="F387" s="6">
        <f>0</f>
        <v>0</v>
      </c>
      <c r="G387" s="18" t="s">
        <v>39</v>
      </c>
      <c r="H387" s="21">
        <f>0</f>
        <v>0</v>
      </c>
    </row>
    <row r="388" spans="1:8" ht="22.5" customHeight="1" x14ac:dyDescent="0.25">
      <c r="A388" s="44"/>
      <c r="B388" s="35"/>
      <c r="C388" s="7" t="s">
        <v>214</v>
      </c>
      <c r="D388" s="5" t="s">
        <v>151</v>
      </c>
      <c r="E388" s="6">
        <f>1603</f>
        <v>1603</v>
      </c>
      <c r="F388" s="6">
        <f>355.82668</f>
        <v>355.82668000000001</v>
      </c>
      <c r="G388" s="18" t="s">
        <v>558</v>
      </c>
      <c r="H388" s="21">
        <f>355.82668</f>
        <v>355.82668000000001</v>
      </c>
    </row>
    <row r="389" spans="1:8" ht="22.5" customHeight="1" x14ac:dyDescent="0.25">
      <c r="A389" s="44"/>
      <c r="B389" s="35"/>
      <c r="C389" s="5" t="s">
        <v>152</v>
      </c>
      <c r="D389" s="5" t="s">
        <v>56</v>
      </c>
      <c r="E389" s="6">
        <f>E390+E391</f>
        <v>9830.375250000001</v>
      </c>
      <c r="F389" s="6">
        <f>F390+F391</f>
        <v>0</v>
      </c>
      <c r="G389" s="18" t="s">
        <v>39</v>
      </c>
      <c r="H389" s="21">
        <f>H390+H391</f>
        <v>0</v>
      </c>
    </row>
    <row r="390" spans="1:8" ht="22.5" customHeight="1" x14ac:dyDescent="0.25">
      <c r="A390" s="44"/>
      <c r="B390" s="35"/>
      <c r="C390" s="7" t="s">
        <v>231</v>
      </c>
      <c r="D390" s="5" t="s">
        <v>257</v>
      </c>
      <c r="E390" s="6">
        <f>239.76525+7192.9575+2397.6525</f>
        <v>9830.375250000001</v>
      </c>
      <c r="F390" s="6">
        <f>0</f>
        <v>0</v>
      </c>
      <c r="G390" s="18" t="s">
        <v>39</v>
      </c>
      <c r="H390" s="21">
        <f>0</f>
        <v>0</v>
      </c>
    </row>
    <row r="391" spans="1:8" ht="22.5" customHeight="1" x14ac:dyDescent="0.25">
      <c r="A391" s="44"/>
      <c r="B391" s="35"/>
      <c r="C391" s="7" t="s">
        <v>559</v>
      </c>
      <c r="D391" s="5" t="s">
        <v>560</v>
      </c>
      <c r="E391" s="6">
        <f>0</f>
        <v>0</v>
      </c>
      <c r="F391" s="6">
        <f>0</f>
        <v>0</v>
      </c>
      <c r="G391" s="18" t="s">
        <v>8</v>
      </c>
      <c r="H391" s="21">
        <f>0</f>
        <v>0</v>
      </c>
    </row>
    <row r="392" spans="1:8" ht="22.5" customHeight="1" x14ac:dyDescent="0.25">
      <c r="A392" s="44"/>
      <c r="B392" s="35"/>
      <c r="C392" s="3" t="s">
        <v>22</v>
      </c>
      <c r="D392" s="3" t="s">
        <v>34</v>
      </c>
      <c r="E392" s="4">
        <f>E393</f>
        <v>70345.94</v>
      </c>
      <c r="F392" s="4">
        <f>F393</f>
        <v>12539.765430000001</v>
      </c>
      <c r="G392" s="17" t="s">
        <v>275</v>
      </c>
      <c r="H392" s="20">
        <f>H393</f>
        <v>12539.765430000001</v>
      </c>
    </row>
    <row r="393" spans="1:8" ht="22.5" customHeight="1" x14ac:dyDescent="0.25">
      <c r="A393" s="44"/>
      <c r="B393" s="35"/>
      <c r="C393" s="5" t="s">
        <v>19</v>
      </c>
      <c r="D393" s="5" t="s">
        <v>35</v>
      </c>
      <c r="E393" s="6">
        <f>E394+E395</f>
        <v>70345.94</v>
      </c>
      <c r="F393" s="6">
        <f>F394+F395</f>
        <v>12539.765430000001</v>
      </c>
      <c r="G393" s="18" t="s">
        <v>275</v>
      </c>
      <c r="H393" s="21">
        <f>H394+H395</f>
        <v>12539.765430000001</v>
      </c>
    </row>
    <row r="394" spans="1:8" ht="22.5" customHeight="1" x14ac:dyDescent="0.25">
      <c r="A394" s="44"/>
      <c r="B394" s="35"/>
      <c r="C394" s="7" t="s">
        <v>190</v>
      </c>
      <c r="D394" s="5" t="s">
        <v>138</v>
      </c>
      <c r="E394" s="6">
        <f>64845.94</f>
        <v>64845.94</v>
      </c>
      <c r="F394" s="6">
        <f>12084.154</f>
        <v>12084.154</v>
      </c>
      <c r="G394" s="18" t="s">
        <v>321</v>
      </c>
      <c r="H394" s="21">
        <f>12084.154</f>
        <v>12084.154</v>
      </c>
    </row>
    <row r="395" spans="1:8" ht="22.5" customHeight="1" x14ac:dyDescent="0.25">
      <c r="A395" s="44"/>
      <c r="B395" s="35"/>
      <c r="C395" s="7" t="s">
        <v>191</v>
      </c>
      <c r="D395" s="5" t="s">
        <v>139</v>
      </c>
      <c r="E395" s="6">
        <f>5500</f>
        <v>5500</v>
      </c>
      <c r="F395" s="6">
        <f>455.61143</f>
        <v>455.61142999999998</v>
      </c>
      <c r="G395" s="18" t="s">
        <v>348</v>
      </c>
      <c r="H395" s="21">
        <f>455.61143</f>
        <v>455.61142999999998</v>
      </c>
    </row>
    <row r="396" spans="1:8" ht="22.5" customHeight="1" x14ac:dyDescent="0.25">
      <c r="A396" s="44"/>
      <c r="B396" s="35"/>
      <c r="C396" s="3" t="s">
        <v>25</v>
      </c>
      <c r="D396" s="3" t="s">
        <v>354</v>
      </c>
      <c r="E396" s="4">
        <f>E397+E398</f>
        <v>2620</v>
      </c>
      <c r="F396" s="4">
        <f>F397+F398</f>
        <v>438.00088</v>
      </c>
      <c r="G396" s="17" t="s">
        <v>287</v>
      </c>
      <c r="H396" s="20">
        <f>H397+H398</f>
        <v>438.00088</v>
      </c>
    </row>
    <row r="397" spans="1:8" ht="22.5" customHeight="1" x14ac:dyDescent="0.25">
      <c r="A397" s="44"/>
      <c r="B397" s="35"/>
      <c r="C397" s="5" t="s">
        <v>19</v>
      </c>
      <c r="D397" s="5" t="s">
        <v>167</v>
      </c>
      <c r="E397" s="6">
        <f>0</f>
        <v>0</v>
      </c>
      <c r="F397" s="6">
        <f>0</f>
        <v>0</v>
      </c>
      <c r="G397" s="18" t="s">
        <v>8</v>
      </c>
      <c r="H397" s="21">
        <f>0</f>
        <v>0</v>
      </c>
    </row>
    <row r="398" spans="1:8" ht="22.5" customHeight="1" x14ac:dyDescent="0.25">
      <c r="A398" s="44"/>
      <c r="B398" s="35"/>
      <c r="C398" s="5" t="s">
        <v>31</v>
      </c>
      <c r="D398" s="5" t="s">
        <v>32</v>
      </c>
      <c r="E398" s="6">
        <f>E399+E400</f>
        <v>2620</v>
      </c>
      <c r="F398" s="6">
        <f>F399+F400</f>
        <v>438.00088</v>
      </c>
      <c r="G398" s="18" t="s">
        <v>287</v>
      </c>
      <c r="H398" s="21">
        <f>H399+H400</f>
        <v>438.00088</v>
      </c>
    </row>
    <row r="399" spans="1:8" ht="22.5" customHeight="1" x14ac:dyDescent="0.25">
      <c r="A399" s="44"/>
      <c r="B399" s="35"/>
      <c r="C399" s="7" t="s">
        <v>200</v>
      </c>
      <c r="D399" s="5" t="s">
        <v>561</v>
      </c>
      <c r="E399" s="6">
        <f>2620</f>
        <v>2620</v>
      </c>
      <c r="F399" s="6">
        <f>438.00088</f>
        <v>438.00088</v>
      </c>
      <c r="G399" s="18" t="s">
        <v>287</v>
      </c>
      <c r="H399" s="21">
        <f>438.00088</f>
        <v>438.00088</v>
      </c>
    </row>
    <row r="400" spans="1:8" ht="22.5" customHeight="1" x14ac:dyDescent="0.25">
      <c r="A400" s="44"/>
      <c r="B400" s="35"/>
      <c r="C400" s="7" t="s">
        <v>201</v>
      </c>
      <c r="D400" s="5" t="s">
        <v>562</v>
      </c>
      <c r="E400" s="6">
        <f>0</f>
        <v>0</v>
      </c>
      <c r="F400" s="6">
        <f>0</f>
        <v>0</v>
      </c>
      <c r="G400" s="18" t="s">
        <v>8</v>
      </c>
      <c r="H400" s="21">
        <f>0</f>
        <v>0</v>
      </c>
    </row>
    <row r="401" spans="1:8" ht="22.5" customHeight="1" thickBot="1" x14ac:dyDescent="0.3">
      <c r="A401" s="41" t="s">
        <v>16</v>
      </c>
      <c r="B401" s="42"/>
      <c r="C401" s="42"/>
      <c r="D401" s="43"/>
      <c r="E401" s="30">
        <f>E372+E376+E392+E396</f>
        <v>102896.94271</v>
      </c>
      <c r="F401" s="27">
        <f>F372+F376+F392+F396</f>
        <v>14010.140650000001</v>
      </c>
      <c r="G401" s="31" t="s">
        <v>563</v>
      </c>
      <c r="H401" s="29">
        <f>H372+H376+H392+H396</f>
        <v>14010.140650000001</v>
      </c>
    </row>
    <row r="402" spans="1:8" ht="22.5" customHeight="1" x14ac:dyDescent="0.25">
      <c r="A402" s="50">
        <v>16</v>
      </c>
      <c r="B402" s="39" t="s">
        <v>153</v>
      </c>
      <c r="C402" s="3" t="s">
        <v>6</v>
      </c>
      <c r="D402" s="3" t="s">
        <v>173</v>
      </c>
      <c r="E402" s="4">
        <f>E403+E404</f>
        <v>1500</v>
      </c>
      <c r="F402" s="4">
        <f>F403+F404</f>
        <v>0</v>
      </c>
      <c r="G402" s="17" t="s">
        <v>39</v>
      </c>
      <c r="H402" s="22">
        <f>H403+H404</f>
        <v>0</v>
      </c>
    </row>
    <row r="403" spans="1:8" ht="22.5" customHeight="1" x14ac:dyDescent="0.25">
      <c r="A403" s="46"/>
      <c r="B403" s="40"/>
      <c r="C403" s="5" t="s">
        <v>31</v>
      </c>
      <c r="D403" s="5" t="s">
        <v>564</v>
      </c>
      <c r="E403" s="6">
        <f>0</f>
        <v>0</v>
      </c>
      <c r="F403" s="6">
        <f>0</f>
        <v>0</v>
      </c>
      <c r="G403" s="18" t="s">
        <v>8</v>
      </c>
      <c r="H403" s="21">
        <f>0</f>
        <v>0</v>
      </c>
    </row>
    <row r="404" spans="1:8" ht="22.5" customHeight="1" x14ac:dyDescent="0.25">
      <c r="A404" s="46"/>
      <c r="B404" s="40"/>
      <c r="C404" s="5" t="s">
        <v>9</v>
      </c>
      <c r="D404" s="5" t="s">
        <v>154</v>
      </c>
      <c r="E404" s="6">
        <f>E405+E406</f>
        <v>1500</v>
      </c>
      <c r="F404" s="6">
        <f>F405+F406</f>
        <v>0</v>
      </c>
      <c r="G404" s="18" t="s">
        <v>39</v>
      </c>
      <c r="H404" s="21">
        <f>H405+H406</f>
        <v>0</v>
      </c>
    </row>
    <row r="405" spans="1:8" ht="22.5" customHeight="1" x14ac:dyDescent="0.25">
      <c r="A405" s="46"/>
      <c r="B405" s="40"/>
      <c r="C405" s="7" t="s">
        <v>188</v>
      </c>
      <c r="D405" s="5" t="s">
        <v>565</v>
      </c>
      <c r="E405" s="6">
        <f>1500</f>
        <v>1500</v>
      </c>
      <c r="F405" s="6">
        <f>0</f>
        <v>0</v>
      </c>
      <c r="G405" s="18" t="s">
        <v>39</v>
      </c>
      <c r="H405" s="21">
        <f>0</f>
        <v>0</v>
      </c>
    </row>
    <row r="406" spans="1:8" ht="22.5" customHeight="1" x14ac:dyDescent="0.25">
      <c r="A406" s="46"/>
      <c r="B406" s="40"/>
      <c r="C406" s="7" t="s">
        <v>189</v>
      </c>
      <c r="D406" s="5" t="s">
        <v>566</v>
      </c>
      <c r="E406" s="6">
        <f>0</f>
        <v>0</v>
      </c>
      <c r="F406" s="6">
        <f>0</f>
        <v>0</v>
      </c>
      <c r="G406" s="18" t="s">
        <v>8</v>
      </c>
      <c r="H406" s="21">
        <f>0</f>
        <v>0</v>
      </c>
    </row>
    <row r="407" spans="1:8" ht="22.5" customHeight="1" x14ac:dyDescent="0.25">
      <c r="A407" s="46"/>
      <c r="B407" s="40"/>
      <c r="C407" s="3" t="s">
        <v>18</v>
      </c>
      <c r="D407" s="3" t="s">
        <v>181</v>
      </c>
      <c r="E407" s="4">
        <f>E408+E410</f>
        <v>498</v>
      </c>
      <c r="F407" s="4">
        <f>F408+F410</f>
        <v>66</v>
      </c>
      <c r="G407" s="17" t="s">
        <v>263</v>
      </c>
      <c r="H407" s="20">
        <f>H408+H410</f>
        <v>66</v>
      </c>
    </row>
    <row r="408" spans="1:8" ht="22.5" customHeight="1" x14ac:dyDescent="0.25">
      <c r="A408" s="46"/>
      <c r="B408" s="40"/>
      <c r="C408" s="5" t="s">
        <v>60</v>
      </c>
      <c r="D408" s="5" t="s">
        <v>567</v>
      </c>
      <c r="E408" s="6">
        <f>E409</f>
        <v>498</v>
      </c>
      <c r="F408" s="6">
        <f>F409</f>
        <v>66</v>
      </c>
      <c r="G408" s="18" t="s">
        <v>263</v>
      </c>
      <c r="H408" s="21">
        <f>H409</f>
        <v>66</v>
      </c>
    </row>
    <row r="409" spans="1:8" ht="22.5" customHeight="1" x14ac:dyDescent="0.25">
      <c r="A409" s="46"/>
      <c r="B409" s="40"/>
      <c r="C409" s="7" t="s">
        <v>226</v>
      </c>
      <c r="D409" s="5" t="s">
        <v>568</v>
      </c>
      <c r="E409" s="6">
        <f>498</f>
        <v>498</v>
      </c>
      <c r="F409" s="6">
        <f>66</f>
        <v>66</v>
      </c>
      <c r="G409" s="18" t="s">
        <v>263</v>
      </c>
      <c r="H409" s="21">
        <f>66</f>
        <v>66</v>
      </c>
    </row>
    <row r="410" spans="1:8" ht="22.5" customHeight="1" x14ac:dyDescent="0.25">
      <c r="A410" s="46"/>
      <c r="B410" s="40"/>
      <c r="C410" s="5" t="s">
        <v>26</v>
      </c>
      <c r="D410" s="5" t="s">
        <v>569</v>
      </c>
      <c r="E410" s="6">
        <f>0</f>
        <v>0</v>
      </c>
      <c r="F410" s="6">
        <f>0</f>
        <v>0</v>
      </c>
      <c r="G410" s="18" t="s">
        <v>8</v>
      </c>
      <c r="H410" s="21">
        <f>0</f>
        <v>0</v>
      </c>
    </row>
    <row r="411" spans="1:8" ht="22.5" customHeight="1" thickBot="1" x14ac:dyDescent="0.3">
      <c r="A411" s="33" t="s">
        <v>16</v>
      </c>
      <c r="B411" s="34"/>
      <c r="C411" s="34"/>
      <c r="D411" s="34"/>
      <c r="E411" s="30">
        <f>E402+E407</f>
        <v>1998</v>
      </c>
      <c r="F411" s="27">
        <f>F402+F407</f>
        <v>66</v>
      </c>
      <c r="G411" s="28" t="s">
        <v>290</v>
      </c>
      <c r="H411" s="29">
        <f>H402+H407</f>
        <v>66</v>
      </c>
    </row>
    <row r="412" spans="1:8" ht="22.5" customHeight="1" x14ac:dyDescent="0.25">
      <c r="A412" s="50">
        <v>17</v>
      </c>
      <c r="B412" s="39" t="s">
        <v>155</v>
      </c>
      <c r="C412" s="3" t="s">
        <v>6</v>
      </c>
      <c r="D412" s="3" t="s">
        <v>156</v>
      </c>
      <c r="E412" s="4">
        <f>E413+E420</f>
        <v>251845.3</v>
      </c>
      <c r="F412" s="4">
        <f>F413+F420</f>
        <v>33060.04</v>
      </c>
      <c r="G412" s="17" t="s">
        <v>570</v>
      </c>
      <c r="H412" s="22">
        <f>H413+H420</f>
        <v>33060.04</v>
      </c>
    </row>
    <row r="413" spans="1:8" ht="22.5" customHeight="1" x14ac:dyDescent="0.25">
      <c r="A413" s="46"/>
      <c r="B413" s="40"/>
      <c r="C413" s="5" t="s">
        <v>19</v>
      </c>
      <c r="D413" s="5" t="s">
        <v>157</v>
      </c>
      <c r="E413" s="6">
        <f>E414+E415+E416+E417+E418+E419</f>
        <v>141845.28</v>
      </c>
      <c r="F413" s="6">
        <f>F414+F415+F416+F417+F418+F419</f>
        <v>60.04</v>
      </c>
      <c r="G413" s="18" t="s">
        <v>304</v>
      </c>
      <c r="H413" s="21">
        <f>H414+H415+H416+H417+H418+H419</f>
        <v>60.04</v>
      </c>
    </row>
    <row r="414" spans="1:8" ht="22.5" customHeight="1" x14ac:dyDescent="0.25">
      <c r="A414" s="46"/>
      <c r="B414" s="40"/>
      <c r="C414" s="7" t="s">
        <v>199</v>
      </c>
      <c r="D414" s="5" t="s">
        <v>571</v>
      </c>
      <c r="E414" s="6">
        <f>6198.5+2656.5</f>
        <v>8855</v>
      </c>
      <c r="F414" s="6">
        <f>0</f>
        <v>0</v>
      </c>
      <c r="G414" s="18" t="s">
        <v>39</v>
      </c>
      <c r="H414" s="21">
        <f>0</f>
        <v>0</v>
      </c>
    </row>
    <row r="415" spans="1:8" ht="22.5" customHeight="1" x14ac:dyDescent="0.25">
      <c r="A415" s="46"/>
      <c r="B415" s="40"/>
      <c r="C415" s="7" t="s">
        <v>194</v>
      </c>
      <c r="D415" s="5" t="s">
        <v>572</v>
      </c>
      <c r="E415" s="6">
        <f>123.86+53.08</f>
        <v>176.94</v>
      </c>
      <c r="F415" s="6">
        <f>0</f>
        <v>0</v>
      </c>
      <c r="G415" s="18" t="s">
        <v>39</v>
      </c>
      <c r="H415" s="21">
        <f>0</f>
        <v>0</v>
      </c>
    </row>
    <row r="416" spans="1:8" ht="22.5" customHeight="1" x14ac:dyDescent="0.25">
      <c r="A416" s="46"/>
      <c r="B416" s="40"/>
      <c r="C416" s="7" t="s">
        <v>211</v>
      </c>
      <c r="D416" s="5" t="s">
        <v>261</v>
      </c>
      <c r="E416" s="6">
        <f>4643.2+71480.61</f>
        <v>76123.81</v>
      </c>
      <c r="F416" s="6">
        <f>0</f>
        <v>0</v>
      </c>
      <c r="G416" s="18" t="s">
        <v>39</v>
      </c>
      <c r="H416" s="21">
        <f>0</f>
        <v>0</v>
      </c>
    </row>
    <row r="417" spans="1:8" ht="22.5" customHeight="1" x14ac:dyDescent="0.25">
      <c r="A417" s="46"/>
      <c r="B417" s="40"/>
      <c r="C417" s="7" t="s">
        <v>259</v>
      </c>
      <c r="D417" s="5" t="s">
        <v>573</v>
      </c>
      <c r="E417" s="6">
        <f>53125.27</f>
        <v>53125.27</v>
      </c>
      <c r="F417" s="6">
        <f>59.78</f>
        <v>59.78</v>
      </c>
      <c r="G417" s="18" t="s">
        <v>485</v>
      </c>
      <c r="H417" s="21">
        <f>59.78</f>
        <v>59.78</v>
      </c>
    </row>
    <row r="418" spans="1:8" ht="22.5" customHeight="1" x14ac:dyDescent="0.25">
      <c r="A418" s="46"/>
      <c r="B418" s="40"/>
      <c r="C418" s="7" t="s">
        <v>239</v>
      </c>
      <c r="D418" s="5" t="s">
        <v>574</v>
      </c>
      <c r="E418" s="6">
        <f>3563.38</f>
        <v>3563.38</v>
      </c>
      <c r="F418" s="6">
        <f>0</f>
        <v>0</v>
      </c>
      <c r="G418" s="18" t="s">
        <v>39</v>
      </c>
      <c r="H418" s="21">
        <f>0</f>
        <v>0</v>
      </c>
    </row>
    <row r="419" spans="1:8" ht="22.5" customHeight="1" x14ac:dyDescent="0.25">
      <c r="A419" s="46"/>
      <c r="B419" s="40"/>
      <c r="C419" s="7" t="s">
        <v>260</v>
      </c>
      <c r="D419" s="5" t="s">
        <v>575</v>
      </c>
      <c r="E419" s="6">
        <f>0.88</f>
        <v>0.88</v>
      </c>
      <c r="F419" s="6">
        <f>0.26</f>
        <v>0.26</v>
      </c>
      <c r="G419" s="18" t="s">
        <v>576</v>
      </c>
      <c r="H419" s="21">
        <f>0.26</f>
        <v>0.26</v>
      </c>
    </row>
    <row r="420" spans="1:8" ht="22.5" customHeight="1" x14ac:dyDescent="0.25">
      <c r="A420" s="46"/>
      <c r="B420" s="40"/>
      <c r="C420" s="5" t="s">
        <v>158</v>
      </c>
      <c r="D420" s="5" t="s">
        <v>159</v>
      </c>
      <c r="E420" s="6">
        <f>E421+E422</f>
        <v>110000.01999999999</v>
      </c>
      <c r="F420" s="6">
        <f>F421+F422</f>
        <v>33000</v>
      </c>
      <c r="G420" s="18" t="s">
        <v>577</v>
      </c>
      <c r="H420" s="21">
        <f>H421+H422</f>
        <v>33000</v>
      </c>
    </row>
    <row r="421" spans="1:8" ht="22.5" customHeight="1" x14ac:dyDescent="0.25">
      <c r="A421" s="46"/>
      <c r="B421" s="40"/>
      <c r="C421" s="7" t="s">
        <v>241</v>
      </c>
      <c r="D421" s="5" t="s">
        <v>160</v>
      </c>
      <c r="E421" s="6">
        <f>16824.27+42006.02+14002.01</f>
        <v>72832.299999999988</v>
      </c>
      <c r="F421" s="6">
        <f>0</f>
        <v>0</v>
      </c>
      <c r="G421" s="18" t="s">
        <v>39</v>
      </c>
      <c r="H421" s="21">
        <f>0</f>
        <v>0</v>
      </c>
    </row>
    <row r="422" spans="1:8" ht="22.5" customHeight="1" x14ac:dyDescent="0.25">
      <c r="A422" s="46"/>
      <c r="B422" s="40"/>
      <c r="C422" s="7" t="s">
        <v>578</v>
      </c>
      <c r="D422" s="5" t="s">
        <v>161</v>
      </c>
      <c r="E422" s="6">
        <f>8585.75+28581.97</f>
        <v>37167.72</v>
      </c>
      <c r="F422" s="6">
        <f>7623+25377</f>
        <v>33000</v>
      </c>
      <c r="G422" s="18" t="s">
        <v>579</v>
      </c>
      <c r="H422" s="21">
        <f>7623+25377</f>
        <v>33000</v>
      </c>
    </row>
    <row r="423" spans="1:8" ht="22.5" customHeight="1" x14ac:dyDescent="0.25">
      <c r="A423" s="46"/>
      <c r="B423" s="40"/>
      <c r="C423" s="3" t="s">
        <v>18</v>
      </c>
      <c r="D423" s="3" t="s">
        <v>580</v>
      </c>
      <c r="E423" s="4">
        <f>E424+E436+E438</f>
        <v>279078.12</v>
      </c>
      <c r="F423" s="4">
        <f>F424+F436+F438</f>
        <v>32228.99</v>
      </c>
      <c r="G423" s="17" t="s">
        <v>300</v>
      </c>
      <c r="H423" s="20">
        <f>H424+H436+H438</f>
        <v>32228.99</v>
      </c>
    </row>
    <row r="424" spans="1:8" ht="22.5" customHeight="1" x14ac:dyDescent="0.25">
      <c r="A424" s="46"/>
      <c r="B424" s="40"/>
      <c r="C424" s="5" t="s">
        <v>19</v>
      </c>
      <c r="D424" s="5" t="s">
        <v>581</v>
      </c>
      <c r="E424" s="6">
        <f>E425+E426+E427+E428+E429+E430+E431+E432+E433+E434+E435</f>
        <v>247878.12000000002</v>
      </c>
      <c r="F424" s="6">
        <f>F425+F426+F427+F428+F429+F430+F431+F432+F433+F434+F435</f>
        <v>32228.99</v>
      </c>
      <c r="G424" s="18" t="s">
        <v>296</v>
      </c>
      <c r="H424" s="21">
        <f>H425+H426+H427+H428+H429+H430+H431+H432+H433+H434+H435</f>
        <v>32228.99</v>
      </c>
    </row>
    <row r="425" spans="1:8" ht="22.5" customHeight="1" x14ac:dyDescent="0.25">
      <c r="A425" s="46"/>
      <c r="B425" s="40"/>
      <c r="C425" s="7" t="s">
        <v>190</v>
      </c>
      <c r="D425" s="5" t="s">
        <v>180</v>
      </c>
      <c r="E425" s="6">
        <f>11480.18+4927.52</f>
        <v>16407.7</v>
      </c>
      <c r="F425" s="6">
        <f>0</f>
        <v>0</v>
      </c>
      <c r="G425" s="18" t="s">
        <v>39</v>
      </c>
      <c r="H425" s="21">
        <f>0</f>
        <v>0</v>
      </c>
    </row>
    <row r="426" spans="1:8" ht="22.5" customHeight="1" x14ac:dyDescent="0.25">
      <c r="A426" s="46"/>
      <c r="B426" s="40"/>
      <c r="C426" s="7" t="s">
        <v>191</v>
      </c>
      <c r="D426" s="5" t="s">
        <v>240</v>
      </c>
      <c r="E426" s="6">
        <f>653.27+2174.73</f>
        <v>2828</v>
      </c>
      <c r="F426" s="6">
        <f>0</f>
        <v>0</v>
      </c>
      <c r="G426" s="18" t="s">
        <v>39</v>
      </c>
      <c r="H426" s="21">
        <f>0</f>
        <v>0</v>
      </c>
    </row>
    <row r="427" spans="1:8" ht="22.5" customHeight="1" x14ac:dyDescent="0.25">
      <c r="A427" s="46"/>
      <c r="B427" s="40"/>
      <c r="C427" s="7" t="s">
        <v>199</v>
      </c>
      <c r="D427" s="5" t="s">
        <v>313</v>
      </c>
      <c r="E427" s="6">
        <f>679</f>
        <v>679</v>
      </c>
      <c r="F427" s="6">
        <f>155.7</f>
        <v>155.69999999999999</v>
      </c>
      <c r="G427" s="18" t="s">
        <v>526</v>
      </c>
      <c r="H427" s="21">
        <f>155.7</f>
        <v>155.69999999999999</v>
      </c>
    </row>
    <row r="428" spans="1:8" ht="22.5" customHeight="1" x14ac:dyDescent="0.25">
      <c r="A428" s="46"/>
      <c r="B428" s="40"/>
      <c r="C428" s="7" t="s">
        <v>194</v>
      </c>
      <c r="D428" s="5" t="s">
        <v>582</v>
      </c>
      <c r="E428" s="6">
        <f>0</f>
        <v>0</v>
      </c>
      <c r="F428" s="6">
        <f>0</f>
        <v>0</v>
      </c>
      <c r="G428" s="18" t="s">
        <v>8</v>
      </c>
      <c r="H428" s="21">
        <f>0</f>
        <v>0</v>
      </c>
    </row>
    <row r="429" spans="1:8" ht="22.5" customHeight="1" x14ac:dyDescent="0.25">
      <c r="A429" s="46"/>
      <c r="B429" s="40"/>
      <c r="C429" s="7" t="s">
        <v>236</v>
      </c>
      <c r="D429" s="5" t="s">
        <v>583</v>
      </c>
      <c r="E429" s="6">
        <f>67733.41</f>
        <v>67733.41</v>
      </c>
      <c r="F429" s="6">
        <f>3413.85</f>
        <v>3413.85</v>
      </c>
      <c r="G429" s="18" t="s">
        <v>584</v>
      </c>
      <c r="H429" s="21">
        <f>3413.85</f>
        <v>3413.85</v>
      </c>
    </row>
    <row r="430" spans="1:8" ht="22.5" customHeight="1" x14ac:dyDescent="0.25">
      <c r="A430" s="46"/>
      <c r="B430" s="40"/>
      <c r="C430" s="7" t="s">
        <v>237</v>
      </c>
      <c r="D430" s="5" t="s">
        <v>585</v>
      </c>
      <c r="E430" s="6">
        <f>39468.16</f>
        <v>39468.160000000003</v>
      </c>
      <c r="F430" s="6">
        <f>8027.23</f>
        <v>8027.23</v>
      </c>
      <c r="G430" s="18" t="s">
        <v>301</v>
      </c>
      <c r="H430" s="21">
        <f>8027.23</f>
        <v>8027.23</v>
      </c>
    </row>
    <row r="431" spans="1:8" ht="22.5" customHeight="1" x14ac:dyDescent="0.25">
      <c r="A431" s="46"/>
      <c r="B431" s="40"/>
      <c r="C431" s="7" t="s">
        <v>238</v>
      </c>
      <c r="D431" s="5" t="s">
        <v>586</v>
      </c>
      <c r="E431" s="6">
        <f>4785</f>
        <v>4785</v>
      </c>
      <c r="F431" s="6">
        <f>0</f>
        <v>0</v>
      </c>
      <c r="G431" s="18" t="s">
        <v>39</v>
      </c>
      <c r="H431" s="21">
        <f>0</f>
        <v>0</v>
      </c>
    </row>
    <row r="432" spans="1:8" ht="22.5" customHeight="1" x14ac:dyDescent="0.25">
      <c r="A432" s="46"/>
      <c r="B432" s="40"/>
      <c r="C432" s="7" t="s">
        <v>312</v>
      </c>
      <c r="D432" s="5" t="s">
        <v>587</v>
      </c>
      <c r="E432" s="6">
        <f>67056.87</f>
        <v>67056.87</v>
      </c>
      <c r="F432" s="6">
        <f>14076.9</f>
        <v>14076.9</v>
      </c>
      <c r="G432" s="18" t="s">
        <v>465</v>
      </c>
      <c r="H432" s="21">
        <f>14076.9</f>
        <v>14076.9</v>
      </c>
    </row>
    <row r="433" spans="1:8" ht="22.5" customHeight="1" x14ac:dyDescent="0.25">
      <c r="A433" s="46"/>
      <c r="B433" s="40"/>
      <c r="C433" s="7" t="s">
        <v>259</v>
      </c>
      <c r="D433" s="5" t="s">
        <v>306</v>
      </c>
      <c r="E433" s="6">
        <f>15000</f>
        <v>15000</v>
      </c>
      <c r="F433" s="6">
        <f>0</f>
        <v>0</v>
      </c>
      <c r="G433" s="18" t="s">
        <v>39</v>
      </c>
      <c r="H433" s="21">
        <f>0</f>
        <v>0</v>
      </c>
    </row>
    <row r="434" spans="1:8" ht="22.5" customHeight="1" x14ac:dyDescent="0.25">
      <c r="A434" s="46"/>
      <c r="B434" s="40"/>
      <c r="C434" s="7" t="s">
        <v>239</v>
      </c>
      <c r="D434" s="5" t="s">
        <v>163</v>
      </c>
      <c r="E434" s="6">
        <f>29919.98</f>
        <v>29919.98</v>
      </c>
      <c r="F434" s="6">
        <f>6555.31</f>
        <v>6555.31</v>
      </c>
      <c r="G434" s="18" t="s">
        <v>588</v>
      </c>
      <c r="H434" s="21">
        <f>6555.31</f>
        <v>6555.31</v>
      </c>
    </row>
    <row r="435" spans="1:8" ht="22.5" customHeight="1" x14ac:dyDescent="0.25">
      <c r="A435" s="46"/>
      <c r="B435" s="40"/>
      <c r="C435" s="7" t="s">
        <v>260</v>
      </c>
      <c r="D435" s="5" t="s">
        <v>311</v>
      </c>
      <c r="E435" s="6">
        <f>4000</f>
        <v>4000</v>
      </c>
      <c r="F435" s="6">
        <f>0</f>
        <v>0</v>
      </c>
      <c r="G435" s="18" t="s">
        <v>39</v>
      </c>
      <c r="H435" s="21">
        <f>0</f>
        <v>0</v>
      </c>
    </row>
    <row r="436" spans="1:8" ht="22.5" customHeight="1" x14ac:dyDescent="0.25">
      <c r="A436" s="46"/>
      <c r="B436" s="40"/>
      <c r="C436" s="5" t="s">
        <v>9</v>
      </c>
      <c r="D436" s="5" t="s">
        <v>164</v>
      </c>
      <c r="E436" s="6">
        <f>E437</f>
        <v>5200</v>
      </c>
      <c r="F436" s="6">
        <f>F437</f>
        <v>0</v>
      </c>
      <c r="G436" s="18" t="s">
        <v>39</v>
      </c>
      <c r="H436" s="21">
        <f>H437</f>
        <v>0</v>
      </c>
    </row>
    <row r="437" spans="1:8" ht="22.5" customHeight="1" x14ac:dyDescent="0.25">
      <c r="A437" s="46"/>
      <c r="B437" s="40"/>
      <c r="C437" s="7" t="s">
        <v>188</v>
      </c>
      <c r="D437" s="5" t="s">
        <v>165</v>
      </c>
      <c r="E437" s="6">
        <f>240.24+4160+799.76</f>
        <v>5200</v>
      </c>
      <c r="F437" s="6">
        <v>0</v>
      </c>
      <c r="G437" s="18" t="s">
        <v>39</v>
      </c>
      <c r="H437" s="21">
        <v>0</v>
      </c>
    </row>
    <row r="438" spans="1:8" ht="22.5" customHeight="1" x14ac:dyDescent="0.25">
      <c r="A438" s="46"/>
      <c r="B438" s="40"/>
      <c r="C438" s="5" t="s">
        <v>158</v>
      </c>
      <c r="D438" s="5" t="s">
        <v>159</v>
      </c>
      <c r="E438" s="6">
        <f>E439</f>
        <v>26000</v>
      </c>
      <c r="F438" s="6">
        <f>F439</f>
        <v>0</v>
      </c>
      <c r="G438" s="18" t="s">
        <v>39</v>
      </c>
      <c r="H438" s="21">
        <f>H439</f>
        <v>0</v>
      </c>
    </row>
    <row r="439" spans="1:8" ht="22.5" customHeight="1" x14ac:dyDescent="0.25">
      <c r="A439" s="46"/>
      <c r="B439" s="40"/>
      <c r="C439" s="7" t="s">
        <v>241</v>
      </c>
      <c r="D439" s="5" t="s">
        <v>162</v>
      </c>
      <c r="E439" s="6">
        <f>6006+19994</f>
        <v>26000</v>
      </c>
      <c r="F439" s="6">
        <v>0</v>
      </c>
      <c r="G439" s="18" t="s">
        <v>39</v>
      </c>
      <c r="H439" s="21">
        <v>0</v>
      </c>
    </row>
    <row r="440" spans="1:8" ht="22.5" customHeight="1" thickBot="1" x14ac:dyDescent="0.3">
      <c r="A440" s="33" t="s">
        <v>16</v>
      </c>
      <c r="B440" s="34"/>
      <c r="C440" s="34"/>
      <c r="D440" s="34"/>
      <c r="E440" s="30">
        <f>E412+E423</f>
        <v>530923.41999999993</v>
      </c>
      <c r="F440" s="27">
        <f>F412+F423</f>
        <v>65289.03</v>
      </c>
      <c r="G440" s="28" t="s">
        <v>589</v>
      </c>
      <c r="H440" s="29">
        <f>H412+H423</f>
        <v>65289.03</v>
      </c>
    </row>
    <row r="441" spans="1:8" ht="22.5" customHeight="1" x14ac:dyDescent="0.25">
      <c r="A441" s="37">
        <v>18</v>
      </c>
      <c r="B441" s="39" t="s">
        <v>166</v>
      </c>
      <c r="C441" s="3" t="s">
        <v>22</v>
      </c>
      <c r="D441" s="3" t="s">
        <v>654</v>
      </c>
      <c r="E441" s="4">
        <f>E442+E444</f>
        <v>989620.79999999993</v>
      </c>
      <c r="F441" s="4">
        <f>F442+F444</f>
        <v>79005.22</v>
      </c>
      <c r="G441" s="17" t="s">
        <v>338</v>
      </c>
      <c r="H441" s="22">
        <f>H442+H444</f>
        <v>79005.22</v>
      </c>
    </row>
    <row r="442" spans="1:8" ht="22.5" customHeight="1" x14ac:dyDescent="0.25">
      <c r="A442" s="38"/>
      <c r="B442" s="40"/>
      <c r="C442" s="5" t="s">
        <v>19</v>
      </c>
      <c r="D442" s="5" t="s">
        <v>655</v>
      </c>
      <c r="E442" s="6">
        <f>E443</f>
        <v>132.58000000000001</v>
      </c>
      <c r="F442" s="6">
        <f>F443</f>
        <v>119.32</v>
      </c>
      <c r="G442" s="18" t="s">
        <v>656</v>
      </c>
      <c r="H442" s="21">
        <f>H443</f>
        <v>119.32</v>
      </c>
    </row>
    <row r="443" spans="1:8" ht="22.5" customHeight="1" x14ac:dyDescent="0.25">
      <c r="A443" s="38"/>
      <c r="B443" s="40"/>
      <c r="C443" s="5" t="s">
        <v>657</v>
      </c>
      <c r="D443" s="5" t="s">
        <v>658</v>
      </c>
      <c r="E443" s="6">
        <f>132.58</f>
        <v>132.58000000000001</v>
      </c>
      <c r="F443" s="6">
        <f>119.32</f>
        <v>119.32</v>
      </c>
      <c r="G443" s="18" t="s">
        <v>656</v>
      </c>
      <c r="H443" s="21">
        <f>119.32</f>
        <v>119.32</v>
      </c>
    </row>
    <row r="444" spans="1:8" ht="22.5" customHeight="1" x14ac:dyDescent="0.25">
      <c r="A444" s="38"/>
      <c r="B444" s="40"/>
      <c r="C444" s="5" t="s">
        <v>659</v>
      </c>
      <c r="D444" s="5" t="s">
        <v>660</v>
      </c>
      <c r="E444" s="6">
        <f>E445</f>
        <v>989488.22</v>
      </c>
      <c r="F444" s="6">
        <f>F445</f>
        <v>78885.899999999994</v>
      </c>
      <c r="G444" s="18" t="s">
        <v>338</v>
      </c>
      <c r="H444" s="21">
        <f>H445</f>
        <v>78885.899999999994</v>
      </c>
    </row>
    <row r="445" spans="1:8" ht="22.5" customHeight="1" x14ac:dyDescent="0.25">
      <c r="A445" s="38"/>
      <c r="B445" s="40"/>
      <c r="C445" s="7" t="s">
        <v>661</v>
      </c>
      <c r="D445" s="5" t="s">
        <v>662</v>
      </c>
      <c r="E445" s="6">
        <f>96334.25+893153.97</f>
        <v>989488.22</v>
      </c>
      <c r="F445" s="6">
        <f>78750+135.9</f>
        <v>78885.899999999994</v>
      </c>
      <c r="G445" s="18" t="s">
        <v>338</v>
      </c>
      <c r="H445" s="21">
        <f>78750+135.9</f>
        <v>78885.899999999994</v>
      </c>
    </row>
    <row r="446" spans="1:8" ht="22.5" customHeight="1" x14ac:dyDescent="0.25">
      <c r="A446" s="38"/>
      <c r="B446" s="40"/>
      <c r="C446" s="3" t="s">
        <v>11</v>
      </c>
      <c r="D446" s="3" t="s">
        <v>663</v>
      </c>
      <c r="E446" s="4">
        <f>E447+E449</f>
        <v>736000</v>
      </c>
      <c r="F446" s="4">
        <f>F447+F449</f>
        <v>0</v>
      </c>
      <c r="G446" s="17" t="s">
        <v>39</v>
      </c>
      <c r="H446" s="20">
        <f>H447+H449</f>
        <v>0</v>
      </c>
    </row>
    <row r="447" spans="1:8" ht="22.5" customHeight="1" x14ac:dyDescent="0.25">
      <c r="A447" s="38"/>
      <c r="B447" s="40"/>
      <c r="C447" s="5" t="s">
        <v>512</v>
      </c>
      <c r="D447" s="5" t="s">
        <v>664</v>
      </c>
      <c r="E447" s="6">
        <f>E448</f>
        <v>706000</v>
      </c>
      <c r="F447" s="6">
        <f>F448</f>
        <v>0</v>
      </c>
      <c r="G447" s="18" t="s">
        <v>39</v>
      </c>
      <c r="H447" s="21">
        <f>H448</f>
        <v>0</v>
      </c>
    </row>
    <row r="448" spans="1:8" ht="22.5" customHeight="1" x14ac:dyDescent="0.25">
      <c r="A448" s="38"/>
      <c r="B448" s="40"/>
      <c r="C448" s="7" t="s">
        <v>665</v>
      </c>
      <c r="D448" s="5" t="s">
        <v>664</v>
      </c>
      <c r="E448" s="6">
        <f>706000</f>
        <v>706000</v>
      </c>
      <c r="F448" s="6">
        <f>0</f>
        <v>0</v>
      </c>
      <c r="G448" s="18" t="s">
        <v>39</v>
      </c>
      <c r="H448" s="21">
        <f>0</f>
        <v>0</v>
      </c>
    </row>
    <row r="449" spans="1:8" ht="22.5" customHeight="1" x14ac:dyDescent="0.25">
      <c r="A449" s="38"/>
      <c r="B449" s="40"/>
      <c r="C449" s="5" t="s">
        <v>666</v>
      </c>
      <c r="D449" s="5" t="s">
        <v>667</v>
      </c>
      <c r="E449" s="6">
        <f>E450</f>
        <v>30000</v>
      </c>
      <c r="F449" s="6">
        <f>F450</f>
        <v>0</v>
      </c>
      <c r="G449" s="18" t="s">
        <v>39</v>
      </c>
      <c r="H449" s="21">
        <f>H450</f>
        <v>0</v>
      </c>
    </row>
    <row r="450" spans="1:8" ht="22.5" customHeight="1" x14ac:dyDescent="0.25">
      <c r="A450" s="38"/>
      <c r="B450" s="40"/>
      <c r="C450" s="7" t="s">
        <v>668</v>
      </c>
      <c r="D450" s="5" t="s">
        <v>669</v>
      </c>
      <c r="E450" s="6">
        <f>6000+24000</f>
        <v>30000</v>
      </c>
      <c r="F450" s="6">
        <f>0</f>
        <v>0</v>
      </c>
      <c r="G450" s="18" t="s">
        <v>39</v>
      </c>
      <c r="H450" s="21">
        <f>0</f>
        <v>0</v>
      </c>
    </row>
    <row r="451" spans="1:8" ht="22.5" customHeight="1" thickBot="1" x14ac:dyDescent="0.3">
      <c r="A451" s="41" t="s">
        <v>16</v>
      </c>
      <c r="B451" s="42"/>
      <c r="C451" s="42"/>
      <c r="D451" s="43"/>
      <c r="E451" s="30">
        <f>E441+E446</f>
        <v>1725620.7999999998</v>
      </c>
      <c r="F451" s="27">
        <f>F441+F446</f>
        <v>79005.22</v>
      </c>
      <c r="G451" s="28" t="s">
        <v>670</v>
      </c>
      <c r="H451" s="29">
        <f>H441+H446</f>
        <v>79005.22</v>
      </c>
    </row>
    <row r="455" spans="1:8" ht="22.5" customHeight="1" x14ac:dyDescent="0.25">
      <c r="D455" s="11"/>
    </row>
    <row r="456" spans="1:8" ht="22.5" customHeight="1" x14ac:dyDescent="0.3">
      <c r="E456" s="13"/>
      <c r="F456" s="13"/>
    </row>
    <row r="457" spans="1:8" ht="22.5" customHeight="1" x14ac:dyDescent="0.3">
      <c r="E457" s="14"/>
      <c r="F457" s="14"/>
    </row>
    <row r="458" spans="1:8" ht="22.5" customHeight="1" x14ac:dyDescent="0.3">
      <c r="E458" s="14"/>
      <c r="F458" s="14"/>
    </row>
    <row r="459" spans="1:8" ht="22.5" customHeight="1" x14ac:dyDescent="0.3">
      <c r="E459" s="14"/>
      <c r="F459" s="14"/>
    </row>
  </sheetData>
  <mergeCells count="55">
    <mergeCell ref="A97:D97"/>
    <mergeCell ref="A5:A13"/>
    <mergeCell ref="B5:B13"/>
    <mergeCell ref="A14:D14"/>
    <mergeCell ref="A15:A49"/>
    <mergeCell ref="B15:B49"/>
    <mergeCell ref="A50:D50"/>
    <mergeCell ref="A51:A96"/>
    <mergeCell ref="B51:B96"/>
    <mergeCell ref="A142:D142"/>
    <mergeCell ref="A149:D149"/>
    <mergeCell ref="A150:A159"/>
    <mergeCell ref="B150:B159"/>
    <mergeCell ref="A143:A148"/>
    <mergeCell ref="B143:B148"/>
    <mergeCell ref="A98:A122"/>
    <mergeCell ref="B98:B122"/>
    <mergeCell ref="A123:D123"/>
    <mergeCell ref="A124:A141"/>
    <mergeCell ref="B124:B141"/>
    <mergeCell ref="A1:H2"/>
    <mergeCell ref="A266:A294"/>
    <mergeCell ref="B266:B294"/>
    <mergeCell ref="A324:D324"/>
    <mergeCell ref="A325:A349"/>
    <mergeCell ref="A160:D160"/>
    <mergeCell ref="A251:D251"/>
    <mergeCell ref="A252:A264"/>
    <mergeCell ref="B252:B264"/>
    <mergeCell ref="A265:D265"/>
    <mergeCell ref="A236:D236"/>
    <mergeCell ref="A237:A250"/>
    <mergeCell ref="B237:B250"/>
    <mergeCell ref="A296:A323"/>
    <mergeCell ref="B296:B323"/>
    <mergeCell ref="A295:D295"/>
    <mergeCell ref="A451:D451"/>
    <mergeCell ref="A402:A410"/>
    <mergeCell ref="B402:B410"/>
    <mergeCell ref="A411:D411"/>
    <mergeCell ref="A412:A439"/>
    <mergeCell ref="B412:B439"/>
    <mergeCell ref="A440:D440"/>
    <mergeCell ref="A371:D371"/>
    <mergeCell ref="B161:B235"/>
    <mergeCell ref="A161:A235"/>
    <mergeCell ref="A441:A450"/>
    <mergeCell ref="B441:B450"/>
    <mergeCell ref="A401:D401"/>
    <mergeCell ref="A372:A400"/>
    <mergeCell ref="B372:B400"/>
    <mergeCell ref="A351:A370"/>
    <mergeCell ref="B351:B370"/>
    <mergeCell ref="B325:B349"/>
    <mergeCell ref="A350:D350"/>
  </mergeCells>
  <pageMargins left="0" right="0" top="0" bottom="0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Косиельнюк И.С.</dc:creator>
  <cp:lastModifiedBy>Ekonomika</cp:lastModifiedBy>
  <cp:lastPrinted>2023-05-16T12:20:54Z</cp:lastPrinted>
  <dcterms:created xsi:type="dcterms:W3CDTF">2020-07-31T08:15:26Z</dcterms:created>
  <dcterms:modified xsi:type="dcterms:W3CDTF">2023-07-24T11:41:05Z</dcterms:modified>
</cp:coreProperties>
</file>