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konomika\Desktop\Операт. отчет\2023\3 кв\"/>
    </mc:Choice>
  </mc:AlternateContent>
  <bookViews>
    <workbookView xWindow="0" yWindow="0" windowWidth="23040" windowHeight="93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1" l="1"/>
  <c r="E83" i="1"/>
  <c r="H93" i="1"/>
  <c r="H92" i="1" s="1"/>
  <c r="F93" i="1"/>
  <c r="F92" i="1" s="1"/>
  <c r="E93" i="1"/>
  <c r="E92" i="1" s="1"/>
  <c r="H91" i="1"/>
  <c r="F91" i="1"/>
  <c r="E91" i="1"/>
  <c r="H90" i="1"/>
  <c r="H89" i="1" s="1"/>
  <c r="F90" i="1"/>
  <c r="F89" i="1" s="1"/>
  <c r="E90" i="1"/>
  <c r="E89" i="1" s="1"/>
  <c r="H88" i="1"/>
  <c r="H87" i="1" s="1"/>
  <c r="F88" i="1"/>
  <c r="E88" i="1"/>
  <c r="E87" i="1" s="1"/>
  <c r="F87" i="1"/>
  <c r="H86" i="1"/>
  <c r="F86" i="1"/>
  <c r="E86" i="1"/>
  <c r="H85" i="1"/>
  <c r="F85" i="1"/>
  <c r="H84" i="1"/>
  <c r="F84" i="1"/>
  <c r="E84" i="1"/>
  <c r="E82" i="1" s="1"/>
  <c r="H83" i="1"/>
  <c r="F83" i="1"/>
  <c r="E81" i="1" l="1"/>
  <c r="F82" i="1"/>
  <c r="F81" i="1" s="1"/>
  <c r="H82" i="1"/>
  <c r="H81" i="1"/>
  <c r="H346" i="1"/>
  <c r="H345" i="1" s="1"/>
  <c r="F346" i="1"/>
  <c r="F345" i="1" s="1"/>
  <c r="E346" i="1"/>
  <c r="E345" i="1" s="1"/>
  <c r="H344" i="1"/>
  <c r="H343" i="1" s="1"/>
  <c r="F344" i="1"/>
  <c r="F343" i="1" s="1"/>
  <c r="F342" i="1" s="1"/>
  <c r="E344" i="1"/>
  <c r="E343" i="1" s="1"/>
  <c r="H341" i="1"/>
  <c r="H340" i="1" s="1"/>
  <c r="F341" i="1"/>
  <c r="F340" i="1" s="1"/>
  <c r="E341" i="1"/>
  <c r="E340" i="1" s="1"/>
  <c r="H339" i="1"/>
  <c r="H338" i="1" s="1"/>
  <c r="F339" i="1"/>
  <c r="F338" i="1" s="1"/>
  <c r="E339" i="1"/>
  <c r="E338" i="1" s="1"/>
  <c r="H337" i="1"/>
  <c r="H336" i="1" s="1"/>
  <c r="F337" i="1"/>
  <c r="F336" i="1" s="1"/>
  <c r="E337" i="1"/>
  <c r="E336" i="1" s="1"/>
  <c r="H334" i="1"/>
  <c r="H333" i="1" s="1"/>
  <c r="H332" i="1" s="1"/>
  <c r="F334" i="1"/>
  <c r="F333" i="1" s="1"/>
  <c r="F332" i="1" s="1"/>
  <c r="E334" i="1"/>
  <c r="E333" i="1" s="1"/>
  <c r="E332" i="1" s="1"/>
  <c r="H331" i="1"/>
  <c r="H330" i="1" s="1"/>
  <c r="F331" i="1"/>
  <c r="F330" i="1" s="1"/>
  <c r="E331" i="1"/>
  <c r="E330" i="1" s="1"/>
  <c r="H329" i="1"/>
  <c r="F329" i="1"/>
  <c r="E329" i="1"/>
  <c r="H328" i="1"/>
  <c r="F328" i="1"/>
  <c r="E328" i="1"/>
  <c r="E327" i="1"/>
  <c r="F327" i="1" l="1"/>
  <c r="F347" i="1" s="1"/>
  <c r="H327" i="1"/>
  <c r="E335" i="1"/>
  <c r="E342" i="1"/>
  <c r="E347" i="1" s="1"/>
  <c r="H342" i="1"/>
  <c r="H335" i="1"/>
  <c r="F335" i="1"/>
  <c r="E324" i="1"/>
  <c r="H304" i="1"/>
  <c r="F302" i="1"/>
  <c r="H325" i="1"/>
  <c r="H324" i="1" s="1"/>
  <c r="F325" i="1"/>
  <c r="F324" i="1" s="1"/>
  <c r="E325" i="1"/>
  <c r="H323" i="1"/>
  <c r="F323" i="1"/>
  <c r="E323" i="1"/>
  <c r="H322" i="1"/>
  <c r="F322" i="1"/>
  <c r="E322" i="1"/>
  <c r="H321" i="1"/>
  <c r="F321" i="1"/>
  <c r="E321" i="1"/>
  <c r="H320" i="1"/>
  <c r="F320" i="1"/>
  <c r="E320" i="1"/>
  <c r="H319" i="1"/>
  <c r="F319" i="1"/>
  <c r="E319" i="1"/>
  <c r="H318" i="1"/>
  <c r="F318" i="1"/>
  <c r="E318" i="1"/>
  <c r="H317" i="1"/>
  <c r="F317" i="1"/>
  <c r="E317" i="1"/>
  <c r="H316" i="1"/>
  <c r="F316" i="1"/>
  <c r="E316" i="1"/>
  <c r="H315" i="1"/>
  <c r="F315" i="1"/>
  <c r="E315" i="1"/>
  <c r="H312" i="1"/>
  <c r="F312" i="1"/>
  <c r="F310" i="1" s="1"/>
  <c r="E312" i="1"/>
  <c r="H311" i="1"/>
  <c r="H310" i="1" s="1"/>
  <c r="F311" i="1"/>
  <c r="E311" i="1"/>
  <c r="H309" i="1"/>
  <c r="F309" i="1"/>
  <c r="E309" i="1"/>
  <c r="H308" i="1"/>
  <c r="F308" i="1"/>
  <c r="E308" i="1"/>
  <c r="E307" i="1" s="1"/>
  <c r="E306" i="1" s="1"/>
  <c r="H305" i="1"/>
  <c r="F305" i="1"/>
  <c r="F304" i="1" s="1"/>
  <c r="E305" i="1"/>
  <c r="E304" i="1" s="1"/>
  <c r="H303" i="1"/>
  <c r="H302" i="1" s="1"/>
  <c r="F303" i="1"/>
  <c r="E303" i="1"/>
  <c r="E302" i="1" s="1"/>
  <c r="H301" i="1"/>
  <c r="F301" i="1"/>
  <c r="E301" i="1"/>
  <c r="H300" i="1"/>
  <c r="F300" i="1"/>
  <c r="E300" i="1"/>
  <c r="H299" i="1"/>
  <c r="F299" i="1"/>
  <c r="E299" i="1"/>
  <c r="E298" i="1" l="1"/>
  <c r="E297" i="1" s="1"/>
  <c r="E326" i="1" s="1"/>
  <c r="F307" i="1"/>
  <c r="F306" i="1" s="1"/>
  <c r="F314" i="1"/>
  <c r="F313" i="1" s="1"/>
  <c r="F298" i="1"/>
  <c r="F297" i="1" s="1"/>
  <c r="H307" i="1"/>
  <c r="H306" i="1" s="1"/>
  <c r="E310" i="1"/>
  <c r="H314" i="1"/>
  <c r="H313" i="1" s="1"/>
  <c r="E314" i="1"/>
  <c r="E313" i="1" s="1"/>
  <c r="H298" i="1"/>
  <c r="H297" i="1" s="1"/>
  <c r="H326" i="1" s="1"/>
  <c r="H347" i="1"/>
  <c r="H362" i="1"/>
  <c r="H361" i="1" s="1"/>
  <c r="H360" i="1" s="1"/>
  <c r="F362" i="1"/>
  <c r="F361" i="1" s="1"/>
  <c r="F360" i="1" s="1"/>
  <c r="E362" i="1"/>
  <c r="E361" i="1" s="1"/>
  <c r="E360" i="1" s="1"/>
  <c r="H359" i="1"/>
  <c r="F359" i="1"/>
  <c r="E359" i="1"/>
  <c r="H358" i="1"/>
  <c r="F358" i="1"/>
  <c r="E358" i="1"/>
  <c r="H357" i="1"/>
  <c r="F357" i="1"/>
  <c r="E357" i="1"/>
  <c r="H356" i="1"/>
  <c r="F356" i="1"/>
  <c r="E356" i="1"/>
  <c r="H354" i="1"/>
  <c r="H353" i="1" s="1"/>
  <c r="F354" i="1"/>
  <c r="F353" i="1" s="1"/>
  <c r="E354" i="1"/>
  <c r="E353" i="1" s="1"/>
  <c r="H351" i="1"/>
  <c r="F351" i="1"/>
  <c r="E351" i="1"/>
  <c r="H350" i="1"/>
  <c r="F350" i="1"/>
  <c r="E350" i="1"/>
  <c r="F326" i="1" l="1"/>
  <c r="H349" i="1"/>
  <c r="H348" i="1" s="1"/>
  <c r="E355" i="1"/>
  <c r="E352" i="1" s="1"/>
  <c r="F349" i="1"/>
  <c r="F348" i="1" s="1"/>
  <c r="H355" i="1"/>
  <c r="H352" i="1" s="1"/>
  <c r="E349" i="1"/>
  <c r="E348" i="1" s="1"/>
  <c r="F355" i="1"/>
  <c r="F352" i="1" s="1"/>
  <c r="H392" i="1"/>
  <c r="F392" i="1"/>
  <c r="E392" i="1"/>
  <c r="H391" i="1"/>
  <c r="F391" i="1"/>
  <c r="E391" i="1"/>
  <c r="H389" i="1"/>
  <c r="F389" i="1"/>
  <c r="E389" i="1"/>
  <c r="H387" i="1"/>
  <c r="F387" i="1"/>
  <c r="E387" i="1"/>
  <c r="H386" i="1"/>
  <c r="F386" i="1"/>
  <c r="E386" i="1"/>
  <c r="E385" i="1" s="1"/>
  <c r="E384" i="1" s="1"/>
  <c r="H383" i="1"/>
  <c r="F383" i="1"/>
  <c r="E383" i="1"/>
  <c r="H382" i="1"/>
  <c r="F382" i="1"/>
  <c r="E382" i="1"/>
  <c r="H380" i="1"/>
  <c r="F380" i="1"/>
  <c r="E380" i="1"/>
  <c r="H379" i="1"/>
  <c r="F379" i="1"/>
  <c r="E379" i="1"/>
  <c r="H378" i="1"/>
  <c r="F378" i="1"/>
  <c r="E378" i="1"/>
  <c r="H376" i="1"/>
  <c r="H375" i="1" s="1"/>
  <c r="F376" i="1"/>
  <c r="F375" i="1" s="1"/>
  <c r="E376" i="1"/>
  <c r="E375" i="1" s="1"/>
  <c r="H374" i="1"/>
  <c r="F374" i="1"/>
  <c r="E374" i="1"/>
  <c r="H373" i="1"/>
  <c r="F373" i="1"/>
  <c r="E373" i="1"/>
  <c r="H372" i="1"/>
  <c r="F372" i="1"/>
  <c r="E372" i="1"/>
  <c r="H371" i="1"/>
  <c r="F371" i="1"/>
  <c r="E371" i="1"/>
  <c r="H370" i="1"/>
  <c r="F370" i="1"/>
  <c r="E370" i="1"/>
  <c r="H367" i="1"/>
  <c r="H366" i="1" s="1"/>
  <c r="F367" i="1"/>
  <c r="F366" i="1" s="1"/>
  <c r="E367" i="1"/>
  <c r="E366" i="1" s="1"/>
  <c r="H365" i="1"/>
  <c r="F365" i="1"/>
  <c r="E365" i="1"/>
  <c r="H363" i="1" l="1"/>
  <c r="E363" i="1"/>
  <c r="H364" i="1"/>
  <c r="F369" i="1"/>
  <c r="F368" i="1" s="1"/>
  <c r="H369" i="1"/>
  <c r="H381" i="1"/>
  <c r="E364" i="1"/>
  <c r="F364" i="1"/>
  <c r="E369" i="1"/>
  <c r="E377" i="1"/>
  <c r="E381" i="1"/>
  <c r="F363" i="1"/>
  <c r="F390" i="1"/>
  <c r="F388" i="1" s="1"/>
  <c r="H368" i="1"/>
  <c r="F377" i="1"/>
  <c r="H377" i="1"/>
  <c r="H390" i="1"/>
  <c r="H388" i="1" s="1"/>
  <c r="F385" i="1"/>
  <c r="F384" i="1" s="1"/>
  <c r="F381" i="1"/>
  <c r="H385" i="1"/>
  <c r="H384" i="1" s="1"/>
  <c r="E390" i="1"/>
  <c r="E388" i="1"/>
  <c r="H402" i="1"/>
  <c r="F402" i="1"/>
  <c r="E402" i="1"/>
  <c r="H401" i="1"/>
  <c r="H400" i="1" s="1"/>
  <c r="F401" i="1"/>
  <c r="F400" i="1" s="1"/>
  <c r="E401" i="1"/>
  <c r="E400" i="1" s="1"/>
  <c r="H398" i="1"/>
  <c r="F398" i="1"/>
  <c r="E398" i="1"/>
  <c r="H397" i="1"/>
  <c r="F397" i="1"/>
  <c r="E397" i="1"/>
  <c r="H395" i="1"/>
  <c r="F395" i="1"/>
  <c r="E395" i="1"/>
  <c r="E396" i="1" l="1"/>
  <c r="E368" i="1"/>
  <c r="E399" i="1"/>
  <c r="F399" i="1"/>
  <c r="E394" i="1"/>
  <c r="F396" i="1"/>
  <c r="F394" i="1" s="1"/>
  <c r="H399" i="1"/>
  <c r="H396" i="1"/>
  <c r="H394" i="1" s="1"/>
  <c r="H430" i="1"/>
  <c r="H429" i="1" s="1"/>
  <c r="F430" i="1"/>
  <c r="F429" i="1" s="1"/>
  <c r="E430" i="1"/>
  <c r="E429" i="1" s="1"/>
  <c r="H428" i="1"/>
  <c r="F428" i="1"/>
  <c r="E428" i="1"/>
  <c r="H427" i="1"/>
  <c r="F427" i="1"/>
  <c r="E427" i="1"/>
  <c r="H426" i="1"/>
  <c r="F426" i="1"/>
  <c r="E426" i="1"/>
  <c r="H425" i="1"/>
  <c r="F425" i="1"/>
  <c r="E425" i="1"/>
  <c r="H424" i="1"/>
  <c r="F424" i="1"/>
  <c r="E424" i="1"/>
  <c r="H423" i="1"/>
  <c r="F423" i="1"/>
  <c r="E423" i="1"/>
  <c r="H422" i="1"/>
  <c r="F422" i="1"/>
  <c r="E422" i="1"/>
  <c r="H421" i="1"/>
  <c r="F421" i="1"/>
  <c r="E421" i="1"/>
  <c r="H420" i="1"/>
  <c r="F420" i="1"/>
  <c r="E420" i="1"/>
  <c r="H419" i="1"/>
  <c r="F419" i="1"/>
  <c r="E419" i="1"/>
  <c r="H418" i="1"/>
  <c r="F418" i="1"/>
  <c r="E418" i="1"/>
  <c r="H417" i="1"/>
  <c r="F417" i="1"/>
  <c r="E417" i="1"/>
  <c r="H414" i="1"/>
  <c r="F414" i="1"/>
  <c r="E414" i="1"/>
  <c r="H413" i="1"/>
  <c r="F413" i="1"/>
  <c r="E413" i="1"/>
  <c r="H411" i="1"/>
  <c r="F411" i="1"/>
  <c r="E411" i="1"/>
  <c r="H410" i="1"/>
  <c r="F410" i="1"/>
  <c r="E410" i="1"/>
  <c r="H409" i="1"/>
  <c r="F409" i="1"/>
  <c r="E409" i="1"/>
  <c r="H408" i="1"/>
  <c r="F408" i="1"/>
  <c r="E408" i="1"/>
  <c r="H407" i="1"/>
  <c r="F407" i="1"/>
  <c r="E407" i="1"/>
  <c r="H406" i="1"/>
  <c r="F406" i="1"/>
  <c r="E406" i="1"/>
  <c r="E412" i="1" l="1"/>
  <c r="H405" i="1"/>
  <c r="H416" i="1"/>
  <c r="H415" i="1" s="1"/>
  <c r="F412" i="1"/>
  <c r="E405" i="1"/>
  <c r="E404" i="1" s="1"/>
  <c r="F405" i="1"/>
  <c r="H412" i="1"/>
  <c r="E416" i="1"/>
  <c r="E415" i="1" s="1"/>
  <c r="F416" i="1"/>
  <c r="F415" i="1" s="1"/>
  <c r="H442" i="1"/>
  <c r="H441" i="1" s="1"/>
  <c r="F442" i="1"/>
  <c r="F441" i="1" s="1"/>
  <c r="E442" i="1"/>
  <c r="E441" i="1" s="1"/>
  <c r="H440" i="1"/>
  <c r="H439" i="1" s="1"/>
  <c r="F440" i="1"/>
  <c r="F439" i="1" s="1"/>
  <c r="E440" i="1"/>
  <c r="E439" i="1" s="1"/>
  <c r="H437" i="1"/>
  <c r="H436" i="1" s="1"/>
  <c r="F437" i="1"/>
  <c r="F436" i="1" s="1"/>
  <c r="E437" i="1"/>
  <c r="E436" i="1" s="1"/>
  <c r="H435" i="1"/>
  <c r="H434" i="1" s="1"/>
  <c r="F435" i="1"/>
  <c r="F434" i="1" s="1"/>
  <c r="E435" i="1"/>
  <c r="E434" i="1" s="1"/>
  <c r="H433" i="1"/>
  <c r="F433" i="1"/>
  <c r="E433" i="1"/>
  <c r="H404" i="1" l="1"/>
  <c r="H431" i="1" s="1"/>
  <c r="F432" i="1"/>
  <c r="F438" i="1"/>
  <c r="F443" i="1" s="1"/>
  <c r="F404" i="1"/>
  <c r="F431" i="1" s="1"/>
  <c r="E431" i="1"/>
  <c r="E432" i="1"/>
  <c r="H432" i="1"/>
  <c r="H438" i="1"/>
  <c r="E438" i="1"/>
  <c r="H295" i="1"/>
  <c r="F295" i="1"/>
  <c r="E295" i="1"/>
  <c r="H294" i="1"/>
  <c r="F294" i="1"/>
  <c r="E294" i="1"/>
  <c r="H293" i="1"/>
  <c r="F293" i="1"/>
  <c r="E293" i="1"/>
  <c r="H292" i="1"/>
  <c r="F292" i="1"/>
  <c r="E292" i="1"/>
  <c r="H290" i="1"/>
  <c r="F290" i="1"/>
  <c r="E290" i="1"/>
  <c r="H289" i="1"/>
  <c r="F289" i="1"/>
  <c r="E289" i="1"/>
  <c r="H288" i="1"/>
  <c r="F288" i="1"/>
  <c r="E288" i="1"/>
  <c r="H285" i="1"/>
  <c r="F285" i="1"/>
  <c r="E285" i="1"/>
  <c r="H284" i="1"/>
  <c r="F284" i="1"/>
  <c r="E284" i="1"/>
  <c r="H282" i="1"/>
  <c r="F282" i="1"/>
  <c r="E282" i="1"/>
  <c r="H281" i="1"/>
  <c r="F281" i="1"/>
  <c r="E281" i="1"/>
  <c r="H280" i="1"/>
  <c r="F280" i="1"/>
  <c r="E280" i="1"/>
  <c r="H279" i="1"/>
  <c r="F279" i="1"/>
  <c r="E279" i="1"/>
  <c r="H278" i="1"/>
  <c r="F278" i="1"/>
  <c r="E278" i="1"/>
  <c r="H277" i="1"/>
  <c r="F277" i="1"/>
  <c r="E277" i="1"/>
  <c r="H276" i="1"/>
  <c r="F276" i="1"/>
  <c r="E276" i="1"/>
  <c r="H275" i="1"/>
  <c r="F275" i="1"/>
  <c r="E275" i="1"/>
  <c r="H274" i="1"/>
  <c r="F274" i="1"/>
  <c r="E274" i="1"/>
  <c r="H273" i="1"/>
  <c r="F273" i="1"/>
  <c r="E273" i="1"/>
  <c r="H272" i="1"/>
  <c r="F272" i="1"/>
  <c r="E272" i="1"/>
  <c r="H271" i="1"/>
  <c r="F271" i="1"/>
  <c r="E271" i="1"/>
  <c r="H268" i="1"/>
  <c r="F268" i="1"/>
  <c r="E268" i="1"/>
  <c r="H283" i="1" l="1"/>
  <c r="H443" i="1"/>
  <c r="E291" i="1"/>
  <c r="E270" i="1"/>
  <c r="E269" i="1" s="1"/>
  <c r="E267" i="1" s="1"/>
  <c r="E283" i="1"/>
  <c r="H287" i="1"/>
  <c r="H286" i="1" s="1"/>
  <c r="H291" i="1"/>
  <c r="H270" i="1"/>
  <c r="H269" i="1" s="1"/>
  <c r="H267" i="1" s="1"/>
  <c r="E287" i="1"/>
  <c r="E286" i="1" s="1"/>
  <c r="F270" i="1"/>
  <c r="F287" i="1"/>
  <c r="E443" i="1"/>
  <c r="F283" i="1"/>
  <c r="F291" i="1"/>
  <c r="H265" i="1"/>
  <c r="H264" i="1" s="1"/>
  <c r="H263" i="1" s="1"/>
  <c r="F265" i="1"/>
  <c r="F264" i="1" s="1"/>
  <c r="F263" i="1" s="1"/>
  <c r="E265" i="1"/>
  <c r="E264" i="1" s="1"/>
  <c r="E263" i="1" s="1"/>
  <c r="H262" i="1"/>
  <c r="F262" i="1"/>
  <c r="E262" i="1"/>
  <c r="H261" i="1"/>
  <c r="F261" i="1"/>
  <c r="E261" i="1"/>
  <c r="E260" i="1"/>
  <c r="E259" i="1" s="1"/>
  <c r="H258" i="1"/>
  <c r="F258" i="1"/>
  <c r="E258" i="1"/>
  <c r="H257" i="1"/>
  <c r="H256" i="1" s="1"/>
  <c r="F257" i="1"/>
  <c r="F256" i="1" s="1"/>
  <c r="E257" i="1"/>
  <c r="E256" i="1" s="1"/>
  <c r="H254" i="1"/>
  <c r="H253" i="1" s="1"/>
  <c r="F254" i="1"/>
  <c r="F253" i="1" s="1"/>
  <c r="E254" i="1"/>
  <c r="E253" i="1" s="1"/>
  <c r="F260" i="1" l="1"/>
  <c r="F286" i="1"/>
  <c r="F255" i="1"/>
  <c r="H260" i="1"/>
  <c r="H259" i="1" s="1"/>
  <c r="F269" i="1"/>
  <c r="H255" i="1"/>
  <c r="E255" i="1"/>
  <c r="H251" i="1"/>
  <c r="H250" i="1" s="1"/>
  <c r="H249" i="1" s="1"/>
  <c r="F251" i="1"/>
  <c r="F250" i="1" s="1"/>
  <c r="E251" i="1"/>
  <c r="E250" i="1" s="1"/>
  <c r="E249" i="1" s="1"/>
  <c r="H248" i="1"/>
  <c r="H247" i="1" s="1"/>
  <c r="F248" i="1"/>
  <c r="E248" i="1"/>
  <c r="E247" i="1" s="1"/>
  <c r="H246" i="1"/>
  <c r="H245" i="1" s="1"/>
  <c r="H244" i="1" s="1"/>
  <c r="F246" i="1"/>
  <c r="F245" i="1" s="1"/>
  <c r="F244" i="1" s="1"/>
  <c r="E246" i="1"/>
  <c r="E245" i="1" s="1"/>
  <c r="E244" i="1" s="1"/>
  <c r="H243" i="1"/>
  <c r="H242" i="1" s="1"/>
  <c r="H241" i="1" s="1"/>
  <c r="F243" i="1"/>
  <c r="F242" i="1" s="1"/>
  <c r="E243" i="1"/>
  <c r="E242" i="1" s="1"/>
  <c r="E241" i="1" s="1"/>
  <c r="H240" i="1"/>
  <c r="F240" i="1"/>
  <c r="E240" i="1"/>
  <c r="H239" i="1"/>
  <c r="F239" i="1"/>
  <c r="E239" i="1"/>
  <c r="F238" i="1" l="1"/>
  <c r="E238" i="1"/>
  <c r="F241" i="1"/>
  <c r="F249" i="1"/>
  <c r="H238" i="1"/>
  <c r="F267" i="1"/>
  <c r="F247" i="1"/>
  <c r="F259" i="1"/>
  <c r="H236" i="1"/>
  <c r="H235" i="1" s="1"/>
  <c r="H234" i="1" s="1"/>
  <c r="F236" i="1"/>
  <c r="F235" i="1" s="1"/>
  <c r="E236" i="1"/>
  <c r="E235" i="1" s="1"/>
  <c r="E234" i="1" s="1"/>
  <c r="H233" i="1"/>
  <c r="F233" i="1"/>
  <c r="E233" i="1"/>
  <c r="H232" i="1"/>
  <c r="F232" i="1"/>
  <c r="E232" i="1"/>
  <c r="H231" i="1"/>
  <c r="F231" i="1"/>
  <c r="E231" i="1"/>
  <c r="H228" i="1"/>
  <c r="F228" i="1"/>
  <c r="E228" i="1"/>
  <c r="H227" i="1"/>
  <c r="F227" i="1"/>
  <c r="E227" i="1"/>
  <c r="H226" i="1"/>
  <c r="F226" i="1"/>
  <c r="E226" i="1"/>
  <c r="H225" i="1"/>
  <c r="F225" i="1"/>
  <c r="E225" i="1"/>
  <c r="H224" i="1"/>
  <c r="F224" i="1"/>
  <c r="E224" i="1"/>
  <c r="H223" i="1"/>
  <c r="F223" i="1"/>
  <c r="E223" i="1"/>
  <c r="H222" i="1"/>
  <c r="F222" i="1"/>
  <c r="E222" i="1"/>
  <c r="H221" i="1"/>
  <c r="F221" i="1"/>
  <c r="E221" i="1"/>
  <c r="H220" i="1"/>
  <c r="F220" i="1"/>
  <c r="E220" i="1"/>
  <c r="H219" i="1"/>
  <c r="F219" i="1"/>
  <c r="E219" i="1"/>
  <c r="H218" i="1"/>
  <c r="F218" i="1"/>
  <c r="E218" i="1"/>
  <c r="H215" i="1"/>
  <c r="F215" i="1"/>
  <c r="E215" i="1"/>
  <c r="H214" i="1"/>
  <c r="F214" i="1"/>
  <c r="E214" i="1"/>
  <c r="H213" i="1"/>
  <c r="F213" i="1"/>
  <c r="E213" i="1"/>
  <c r="H212" i="1"/>
  <c r="F212" i="1"/>
  <c r="E212" i="1"/>
  <c r="H211" i="1"/>
  <c r="F211" i="1"/>
  <c r="E211" i="1"/>
  <c r="H209" i="1"/>
  <c r="H208" i="1" s="1"/>
  <c r="F209" i="1"/>
  <c r="F208" i="1" s="1"/>
  <c r="E209" i="1"/>
  <c r="E208" i="1"/>
  <c r="H207" i="1"/>
  <c r="F207" i="1"/>
  <c r="E207" i="1"/>
  <c r="H206" i="1"/>
  <c r="F206" i="1"/>
  <c r="E206" i="1"/>
  <c r="H203" i="1"/>
  <c r="F203" i="1"/>
  <c r="E203" i="1"/>
  <c r="H202" i="1"/>
  <c r="F202" i="1"/>
  <c r="E202" i="1"/>
  <c r="H201" i="1"/>
  <c r="F201" i="1"/>
  <c r="E201" i="1"/>
  <c r="H200" i="1"/>
  <c r="F200" i="1"/>
  <c r="E200" i="1"/>
  <c r="H199" i="1"/>
  <c r="F199" i="1"/>
  <c r="E199" i="1"/>
  <c r="H197" i="1"/>
  <c r="H196" i="1" s="1"/>
  <c r="F197" i="1"/>
  <c r="F196" i="1" s="1"/>
  <c r="E197" i="1"/>
  <c r="H195" i="1"/>
  <c r="F195" i="1"/>
  <c r="E195" i="1"/>
  <c r="H194" i="1"/>
  <c r="F194" i="1"/>
  <c r="E194" i="1"/>
  <c r="E193" i="1"/>
  <c r="H191" i="1"/>
  <c r="F191" i="1"/>
  <c r="E191" i="1"/>
  <c r="H190" i="1"/>
  <c r="F190" i="1"/>
  <c r="E190" i="1"/>
  <c r="H189" i="1"/>
  <c r="F189" i="1"/>
  <c r="E189" i="1"/>
  <c r="H187" i="1"/>
  <c r="F187" i="1"/>
  <c r="E187" i="1"/>
  <c r="H186" i="1"/>
  <c r="F186" i="1"/>
  <c r="E186" i="1"/>
  <c r="H185" i="1"/>
  <c r="F185" i="1"/>
  <c r="E185" i="1"/>
  <c r="H184" i="1"/>
  <c r="F184" i="1"/>
  <c r="E184" i="1"/>
  <c r="H183" i="1"/>
  <c r="F183" i="1"/>
  <c r="E183" i="1"/>
  <c r="H181" i="1"/>
  <c r="F181" i="1"/>
  <c r="E181" i="1"/>
  <c r="H180" i="1"/>
  <c r="F180" i="1"/>
  <c r="E180" i="1"/>
  <c r="H179" i="1"/>
  <c r="F179" i="1"/>
  <c r="E179" i="1"/>
  <c r="H177" i="1"/>
  <c r="F177" i="1"/>
  <c r="E177" i="1"/>
  <c r="H176" i="1"/>
  <c r="F176" i="1"/>
  <c r="E176" i="1"/>
  <c r="H175" i="1"/>
  <c r="F175" i="1"/>
  <c r="E175" i="1"/>
  <c r="H174" i="1"/>
  <c r="F174" i="1"/>
  <c r="E174" i="1"/>
  <c r="H172" i="1"/>
  <c r="F172" i="1"/>
  <c r="E172" i="1"/>
  <c r="H171" i="1"/>
  <c r="F171" i="1"/>
  <c r="E171" i="1"/>
  <c r="H170" i="1"/>
  <c r="F170" i="1"/>
  <c r="E170" i="1"/>
  <c r="H169" i="1"/>
  <c r="F169" i="1"/>
  <c r="E169" i="1"/>
  <c r="H168" i="1"/>
  <c r="F168" i="1"/>
  <c r="E168" i="1"/>
  <c r="H166" i="1"/>
  <c r="F166" i="1"/>
  <c r="E166" i="1"/>
  <c r="H165" i="1"/>
  <c r="F165" i="1"/>
  <c r="E165" i="1"/>
  <c r="H164" i="1"/>
  <c r="F164" i="1"/>
  <c r="E164" i="1"/>
  <c r="H167" i="1" l="1"/>
  <c r="E198" i="1"/>
  <c r="E163" i="1"/>
  <c r="H193" i="1"/>
  <c r="E182" i="1"/>
  <c r="H217" i="1"/>
  <c r="H216" i="1" s="1"/>
  <c r="H178" i="1"/>
  <c r="H188" i="1"/>
  <c r="E205" i="1"/>
  <c r="H210" i="1"/>
  <c r="E178" i="1"/>
  <c r="F167" i="1"/>
  <c r="E188" i="1"/>
  <c r="E196" i="1"/>
  <c r="F198" i="1"/>
  <c r="F163" i="1"/>
  <c r="F210" i="1"/>
  <c r="F230" i="1"/>
  <c r="F234" i="1"/>
  <c r="E173" i="1"/>
  <c r="F182" i="1"/>
  <c r="F188" i="1"/>
  <c r="H230" i="1"/>
  <c r="H229" i="1" s="1"/>
  <c r="H163" i="1"/>
  <c r="E167" i="1"/>
  <c r="F173" i="1"/>
  <c r="H182" i="1"/>
  <c r="H198" i="1"/>
  <c r="H192" i="1" s="1"/>
  <c r="H205" i="1"/>
  <c r="E217" i="1"/>
  <c r="E216" i="1" s="1"/>
  <c r="H173" i="1"/>
  <c r="F178" i="1"/>
  <c r="F193" i="1"/>
  <c r="F205" i="1"/>
  <c r="E210" i="1"/>
  <c r="F217" i="1"/>
  <c r="E230" i="1"/>
  <c r="E229" i="1" s="1"/>
  <c r="H160" i="1"/>
  <c r="H159" i="1" s="1"/>
  <c r="H158" i="1" s="1"/>
  <c r="F160" i="1"/>
  <c r="E160" i="1"/>
  <c r="E159" i="1" s="1"/>
  <c r="E158" i="1" s="1"/>
  <c r="H157" i="1"/>
  <c r="H156" i="1" s="1"/>
  <c r="F157" i="1"/>
  <c r="E157" i="1"/>
  <c r="E156" i="1" s="1"/>
  <c r="H155" i="1"/>
  <c r="F155" i="1"/>
  <c r="E155" i="1"/>
  <c r="H154" i="1"/>
  <c r="F154" i="1"/>
  <c r="E154" i="1"/>
  <c r="H149" i="1"/>
  <c r="H148" i="1" s="1"/>
  <c r="H147" i="1" s="1"/>
  <c r="F149" i="1"/>
  <c r="F148" i="1" s="1"/>
  <c r="F147" i="1" s="1"/>
  <c r="E149" i="1"/>
  <c r="E148" i="1" s="1"/>
  <c r="E147" i="1" s="1"/>
  <c r="H146" i="1"/>
  <c r="H145" i="1" s="1"/>
  <c r="H144" i="1" s="1"/>
  <c r="F146" i="1"/>
  <c r="E146" i="1"/>
  <c r="E145" i="1" s="1"/>
  <c r="E144" i="1" s="1"/>
  <c r="E204" i="1" l="1"/>
  <c r="H204" i="1"/>
  <c r="E162" i="1"/>
  <c r="E153" i="1"/>
  <c r="E152" i="1" s="1"/>
  <c r="E151" i="1" s="1"/>
  <c r="F192" i="1"/>
  <c r="H162" i="1"/>
  <c r="E192" i="1"/>
  <c r="H153" i="1"/>
  <c r="H152" i="1" s="1"/>
  <c r="H151" i="1" s="1"/>
  <c r="F145" i="1"/>
  <c r="F144" i="1" s="1"/>
  <c r="F204" i="1"/>
  <c r="F153" i="1"/>
  <c r="F156" i="1"/>
  <c r="F159" i="1"/>
  <c r="F162" i="1"/>
  <c r="F216" i="1"/>
  <c r="F229" i="1"/>
  <c r="H142" i="1"/>
  <c r="H141" i="1" s="1"/>
  <c r="H140" i="1" s="1"/>
  <c r="F142" i="1"/>
  <c r="F141" i="1" s="1"/>
  <c r="F140" i="1" s="1"/>
  <c r="E142" i="1"/>
  <c r="E141" i="1" s="1"/>
  <c r="E140" i="1" s="1"/>
  <c r="H139" i="1"/>
  <c r="F139" i="1"/>
  <c r="E139" i="1"/>
  <c r="H138" i="1"/>
  <c r="F138" i="1"/>
  <c r="E138" i="1"/>
  <c r="H135" i="1"/>
  <c r="H134" i="1" s="1"/>
  <c r="F135" i="1"/>
  <c r="E135" i="1"/>
  <c r="E134" i="1" s="1"/>
  <c r="H133" i="1"/>
  <c r="F133" i="1"/>
  <c r="E133" i="1"/>
  <c r="H132" i="1"/>
  <c r="F132" i="1"/>
  <c r="E132" i="1"/>
  <c r="H130" i="1"/>
  <c r="F130" i="1"/>
  <c r="E130" i="1"/>
  <c r="H129" i="1"/>
  <c r="F129" i="1"/>
  <c r="E129" i="1"/>
  <c r="H128" i="1"/>
  <c r="F128" i="1"/>
  <c r="E128" i="1"/>
  <c r="H127" i="1"/>
  <c r="F127" i="1"/>
  <c r="E127" i="1"/>
  <c r="H131" i="1" l="1"/>
  <c r="H137" i="1"/>
  <c r="H136" i="1" s="1"/>
  <c r="E131" i="1"/>
  <c r="F158" i="1"/>
  <c r="F131" i="1"/>
  <c r="F126" i="1"/>
  <c r="F134" i="1"/>
  <c r="E137" i="1"/>
  <c r="E136" i="1" s="1"/>
  <c r="F137" i="1"/>
  <c r="F152" i="1"/>
  <c r="H126" i="1"/>
  <c r="H125" i="1" s="1"/>
  <c r="E126" i="1"/>
  <c r="E125" i="1" s="1"/>
  <c r="H123" i="1"/>
  <c r="H122" i="1" s="1"/>
  <c r="H121" i="1" s="1"/>
  <c r="F123" i="1"/>
  <c r="F122" i="1" s="1"/>
  <c r="F121" i="1" s="1"/>
  <c r="E123" i="1"/>
  <c r="E122" i="1" s="1"/>
  <c r="E121" i="1" s="1"/>
  <c r="H120" i="1"/>
  <c r="F120" i="1"/>
  <c r="E120" i="1"/>
  <c r="H119" i="1"/>
  <c r="F119" i="1"/>
  <c r="E119" i="1"/>
  <c r="H117" i="1"/>
  <c r="H116" i="1" s="1"/>
  <c r="H115" i="1" s="1"/>
  <c r="F117" i="1"/>
  <c r="F116" i="1" s="1"/>
  <c r="E117" i="1"/>
  <c r="E116" i="1" s="1"/>
  <c r="E115" i="1" s="1"/>
  <c r="H114" i="1"/>
  <c r="H113" i="1" s="1"/>
  <c r="F114" i="1"/>
  <c r="F113" i="1" s="1"/>
  <c r="E114" i="1"/>
  <c r="E113" i="1" s="1"/>
  <c r="H111" i="1"/>
  <c r="H110" i="1" s="1"/>
  <c r="H109" i="1" s="1"/>
  <c r="F111" i="1"/>
  <c r="F110" i="1" s="1"/>
  <c r="E111" i="1"/>
  <c r="E110" i="1" s="1"/>
  <c r="E109" i="1" s="1"/>
  <c r="H108" i="1"/>
  <c r="F108" i="1"/>
  <c r="E108" i="1"/>
  <c r="H107" i="1"/>
  <c r="H106" i="1" s="1"/>
  <c r="F107" i="1"/>
  <c r="F106" i="1" s="1"/>
  <c r="E107" i="1"/>
  <c r="E106" i="1" s="1"/>
  <c r="H105" i="1"/>
  <c r="F105" i="1"/>
  <c r="E105" i="1"/>
  <c r="H104" i="1"/>
  <c r="F104" i="1"/>
  <c r="E104" i="1"/>
  <c r="H103" i="1"/>
  <c r="F103" i="1"/>
  <c r="E103" i="1"/>
  <c r="H102" i="1"/>
  <c r="F102" i="1"/>
  <c r="E102" i="1"/>
  <c r="E101" i="1" l="1"/>
  <c r="E100" i="1" s="1"/>
  <c r="E99" i="1" s="1"/>
  <c r="F125" i="1"/>
  <c r="E118" i="1"/>
  <c r="E124" i="1" s="1"/>
  <c r="F115" i="1"/>
  <c r="F109" i="1"/>
  <c r="F118" i="1"/>
  <c r="F151" i="1"/>
  <c r="H101" i="1"/>
  <c r="H100" i="1" s="1"/>
  <c r="H99" i="1" s="1"/>
  <c r="H118" i="1"/>
  <c r="F101" i="1"/>
  <c r="E143" i="1"/>
  <c r="F136" i="1"/>
  <c r="H97" i="1"/>
  <c r="F97" i="1"/>
  <c r="E97" i="1"/>
  <c r="H96" i="1"/>
  <c r="F96" i="1"/>
  <c r="E96" i="1"/>
  <c r="H80" i="1"/>
  <c r="H78" i="1" s="1"/>
  <c r="F80" i="1"/>
  <c r="E80" i="1"/>
  <c r="H79" i="1"/>
  <c r="F79" i="1"/>
  <c r="E79" i="1"/>
  <c r="H77" i="1"/>
  <c r="H76" i="1" s="1"/>
  <c r="F77" i="1"/>
  <c r="F76" i="1" s="1"/>
  <c r="E77" i="1"/>
  <c r="E76" i="1" s="1"/>
  <c r="H75" i="1"/>
  <c r="F75" i="1"/>
  <c r="E75" i="1"/>
  <c r="H74" i="1"/>
  <c r="F74" i="1"/>
  <c r="E74" i="1"/>
  <c r="H73" i="1"/>
  <c r="F73" i="1"/>
  <c r="E73" i="1"/>
  <c r="H72" i="1"/>
  <c r="H71" i="1" s="1"/>
  <c r="F72" i="1"/>
  <c r="F71" i="1" s="1"/>
  <c r="E72" i="1"/>
  <c r="E71" i="1" s="1"/>
  <c r="H70" i="1"/>
  <c r="F70" i="1"/>
  <c r="E70" i="1"/>
  <c r="H69" i="1"/>
  <c r="F69" i="1"/>
  <c r="E69" i="1"/>
  <c r="H68" i="1"/>
  <c r="F68" i="1"/>
  <c r="E68" i="1"/>
  <c r="H66" i="1"/>
  <c r="F66" i="1"/>
  <c r="E66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H60" i="1"/>
  <c r="F60" i="1"/>
  <c r="E60" i="1"/>
  <c r="H59" i="1"/>
  <c r="F59" i="1"/>
  <c r="E59" i="1"/>
  <c r="H58" i="1"/>
  <c r="F58" i="1"/>
  <c r="E58" i="1"/>
  <c r="H57" i="1"/>
  <c r="F57" i="1"/>
  <c r="E57" i="1"/>
  <c r="H56" i="1"/>
  <c r="F56" i="1"/>
  <c r="E56" i="1"/>
  <c r="H55" i="1"/>
  <c r="F55" i="1"/>
  <c r="E55" i="1"/>
  <c r="H54" i="1"/>
  <c r="F54" i="1"/>
  <c r="E54" i="1"/>
  <c r="E95" i="1" l="1"/>
  <c r="E94" i="1" s="1"/>
  <c r="E78" i="1"/>
  <c r="F95" i="1"/>
  <c r="H95" i="1"/>
  <c r="H94" i="1" s="1"/>
  <c r="H124" i="1"/>
  <c r="H67" i="1"/>
  <c r="H53" i="1"/>
  <c r="F78" i="1"/>
  <c r="F100" i="1"/>
  <c r="F143" i="1"/>
  <c r="F53" i="1"/>
  <c r="E67" i="1"/>
  <c r="E53" i="1"/>
  <c r="E52" i="1" s="1"/>
  <c r="E98" i="1" s="1"/>
  <c r="F67" i="1"/>
  <c r="H52" i="1"/>
  <c r="F52" i="1" l="1"/>
  <c r="F98" i="1" s="1"/>
  <c r="H98" i="1"/>
  <c r="F94" i="1"/>
  <c r="F99" i="1"/>
  <c r="H50" i="1"/>
  <c r="H49" i="1" s="1"/>
  <c r="H48" i="1" s="1"/>
  <c r="F50" i="1"/>
  <c r="F49" i="1" s="1"/>
  <c r="F48" i="1" s="1"/>
  <c r="E50" i="1"/>
  <c r="E49" i="1" s="1"/>
  <c r="H47" i="1"/>
  <c r="F47" i="1"/>
  <c r="E47" i="1"/>
  <c r="H46" i="1"/>
  <c r="F46" i="1"/>
  <c r="F45" i="1" s="1"/>
  <c r="E46" i="1"/>
  <c r="H44" i="1"/>
  <c r="H43" i="1" s="1"/>
  <c r="F44" i="1"/>
  <c r="F43" i="1" s="1"/>
  <c r="E44" i="1"/>
  <c r="E43" i="1" s="1"/>
  <c r="H42" i="1"/>
  <c r="H41" i="1" s="1"/>
  <c r="F42" i="1"/>
  <c r="E42" i="1"/>
  <c r="E41" i="1" s="1"/>
  <c r="H39" i="1"/>
  <c r="H38" i="1" s="1"/>
  <c r="H37" i="1" s="1"/>
  <c r="F39" i="1"/>
  <c r="F38" i="1" s="1"/>
  <c r="F37" i="1" s="1"/>
  <c r="E39" i="1"/>
  <c r="E38" i="1" s="1"/>
  <c r="E37" i="1" s="1"/>
  <c r="H36" i="1"/>
  <c r="H35" i="1" s="1"/>
  <c r="F36" i="1"/>
  <c r="F35" i="1" s="1"/>
  <c r="E36" i="1"/>
  <c r="E35" i="1" s="1"/>
  <c r="H34" i="1"/>
  <c r="H33" i="1" s="1"/>
  <c r="F34" i="1"/>
  <c r="F33" i="1" s="1"/>
  <c r="E34" i="1"/>
  <c r="E33" i="1" s="1"/>
  <c r="H32" i="1"/>
  <c r="F32" i="1"/>
  <c r="E32" i="1"/>
  <c r="H31" i="1"/>
  <c r="F31" i="1"/>
  <c r="E31" i="1"/>
  <c r="H28" i="1"/>
  <c r="H27" i="1" s="1"/>
  <c r="F28" i="1"/>
  <c r="F27" i="1" s="1"/>
  <c r="E28" i="1"/>
  <c r="E27" i="1"/>
  <c r="H26" i="1"/>
  <c r="F26" i="1"/>
  <c r="E26" i="1"/>
  <c r="H25" i="1"/>
  <c r="F25" i="1"/>
  <c r="E25" i="1"/>
  <c r="H24" i="1"/>
  <c r="F24" i="1"/>
  <c r="E24" i="1"/>
  <c r="H23" i="1"/>
  <c r="F23" i="1"/>
  <c r="E23" i="1"/>
  <c r="H20" i="1"/>
  <c r="H19" i="1" s="1"/>
  <c r="F20" i="1"/>
  <c r="F19" i="1" s="1"/>
  <c r="E20" i="1"/>
  <c r="E19" i="1"/>
  <c r="H18" i="1"/>
  <c r="F18" i="1"/>
  <c r="E18" i="1"/>
  <c r="H17" i="1"/>
  <c r="F17" i="1"/>
  <c r="E17" i="1"/>
  <c r="F16" i="1" l="1"/>
  <c r="F15" i="1" s="1"/>
  <c r="E22" i="1"/>
  <c r="E21" i="1" s="1"/>
  <c r="E30" i="1"/>
  <c r="E29" i="1" s="1"/>
  <c r="F41" i="1"/>
  <c r="H16" i="1"/>
  <c r="H15" i="1" s="1"/>
  <c r="E48" i="1"/>
  <c r="F30" i="1"/>
  <c r="F40" i="1"/>
  <c r="E45" i="1"/>
  <c r="E40" i="1" s="1"/>
  <c r="F22" i="1"/>
  <c r="H22" i="1"/>
  <c r="H21" i="1" s="1"/>
  <c r="E16" i="1"/>
  <c r="E15" i="1" s="1"/>
  <c r="H30" i="1"/>
  <c r="H45" i="1"/>
  <c r="H40" i="1" s="1"/>
  <c r="F124" i="1"/>
  <c r="F29" i="1"/>
  <c r="H29" i="1"/>
  <c r="H6" i="1"/>
  <c r="H5" i="1" s="1"/>
  <c r="F6" i="1"/>
  <c r="E6" i="1"/>
  <c r="E5" i="1" s="1"/>
  <c r="H13" i="1"/>
  <c r="F13" i="1"/>
  <c r="E13" i="1"/>
  <c r="H12" i="1"/>
  <c r="F12" i="1"/>
  <c r="E12" i="1"/>
  <c r="H11" i="1"/>
  <c r="F11" i="1"/>
  <c r="E11" i="1"/>
  <c r="H10" i="1"/>
  <c r="F10" i="1"/>
  <c r="E10" i="1"/>
  <c r="H9" i="1"/>
  <c r="F9" i="1"/>
  <c r="E9" i="1"/>
  <c r="H51" i="1" l="1"/>
  <c r="F21" i="1"/>
  <c r="F8" i="1"/>
  <c r="H8" i="1"/>
  <c r="H7" i="1" s="1"/>
  <c r="H14" i="1" s="1"/>
  <c r="F5" i="1"/>
  <c r="E51" i="1"/>
  <c r="E8" i="1"/>
  <c r="E7" i="1" s="1"/>
  <c r="E14" i="1" s="1"/>
  <c r="F51" i="1" l="1"/>
  <c r="F7" i="1"/>
  <c r="F14" i="1" s="1"/>
  <c r="H161" i="1"/>
  <c r="H403" i="1" l="1"/>
  <c r="E403" i="1"/>
  <c r="F252" i="1"/>
  <c r="H252" i="1"/>
  <c r="H150" i="1"/>
  <c r="E161" i="1"/>
  <c r="E150" i="1"/>
  <c r="F150" i="1"/>
  <c r="E266" i="1" l="1"/>
  <c r="H266" i="1"/>
  <c r="H393" i="1"/>
  <c r="F403" i="1"/>
  <c r="E393" i="1"/>
  <c r="H296" i="1"/>
  <c r="E296" i="1"/>
  <c r="H143" i="1"/>
  <c r="H237" i="1" l="1"/>
  <c r="F393" i="1"/>
  <c r="F266" i="1"/>
  <c r="E252" i="1"/>
  <c r="E237" i="1"/>
  <c r="F237" i="1"/>
  <c r="F161" i="1"/>
  <c r="F296" i="1" l="1"/>
</calcChain>
</file>

<file path=xl/sharedStrings.xml><?xml version="1.0" encoding="utf-8"?>
<sst xmlns="http://schemas.openxmlformats.org/spreadsheetml/2006/main" count="1326" uniqueCount="712">
  <si>
    <t>№ п/п</t>
  </si>
  <si>
    <t>Наименование муниципальной программы</t>
  </si>
  <si>
    <t>Наименования подпрограммы, мероприятия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</si>
  <si>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</si>
  <si>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</si>
  <si>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</si>
  <si>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Итого по муниципальной программе</t>
  </si>
  <si>
    <t xml:space="preserve">Культура </t>
  </si>
  <si>
    <t xml:space="preserve">Образование </t>
  </si>
  <si>
    <t>Выполнено на 0%</t>
  </si>
  <si>
    <t>Социальная защита населения</t>
  </si>
  <si>
    <t xml:space="preserve">Спорт </t>
  </si>
  <si>
    <t xml:space="preserve">Развитие сельского хозяйства </t>
  </si>
  <si>
    <t>Экология и окружающая среда</t>
  </si>
  <si>
    <t>Безопасность и обеспечение безопасности жизнедеятельности населения</t>
  </si>
  <si>
    <t xml:space="preserve">Жилище </t>
  </si>
  <si>
    <t>Развитие инженерной инфраструктуры и энергоэффективности</t>
  </si>
  <si>
    <t xml:space="preserve">Предпринимательство </t>
  </si>
  <si>
    <t xml:space="preserve">Управление имуществом и муниципальными финансами 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</si>
  <si>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</si>
  <si>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и функционирование дорожно - транспортного комплекса</t>
  </si>
  <si>
    <t xml:space="preserve">Цифровое муниципальное образование </t>
  </si>
  <si>
    <t xml:space="preserve">Архитектура и градостроительство </t>
  </si>
  <si>
    <t xml:space="preserve">Формирование современной комфортной городской среды </t>
  </si>
  <si>
    <t xml:space="preserve">Строительство объектов социальной инфраструктуры </t>
  </si>
  <si>
    <t>Порядковые № разделов и мероприятий, предусмотренных муниципальной программой</t>
  </si>
  <si>
    <t>Выполнено на 7,4%</t>
  </si>
  <si>
    <t>Выполнено на 26,3%</t>
  </si>
  <si>
    <t>Выполнено 
(тыс. руб.)</t>
  </si>
  <si>
    <t>Объем финансирования на 2020 год 
(тыс. руб.)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</si>
  <si>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</si>
  <si>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</si>
  <si>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Основное мероприятие 2.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</si>
  <si>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</si>
  <si>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Мероприятие 2.1.</t>
  </si>
  <si>
    <t>Мероприятие 2.2.</t>
  </si>
  <si>
    <t>Подпрограмма 5</t>
  </si>
  <si>
    <t>Финансовое обеспечение системы организации медицинской помощи</t>
  </si>
  <si>
    <t>Выполнено на 36%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</si>
  <si>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</si>
  <si>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</si>
  <si>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</si>
  <si>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Финансирование не предусмотрено</t>
  </si>
  <si>
    <t>Мероприятие 2.3.</t>
  </si>
  <si>
    <t>Обеспечение мер поддержки молодым специалистам</t>
  </si>
  <si>
    <t>Мероприятие 2.4.</t>
  </si>
  <si>
    <t>Выплата компенсации за аренду жилья врачам и среднему медицинскому персоналу</t>
  </si>
  <si>
    <t>Выполнено на 66,7%</t>
  </si>
  <si>
    <t>Мероприятие 2.5.</t>
  </si>
  <si>
    <t>Обеспечение жильем нуждающихся из числа привлеченных медицинских работников</t>
  </si>
  <si>
    <t>Подпрограмма 2</t>
  </si>
  <si>
    <t>Развитие музейного дела</t>
  </si>
  <si>
    <t>Выполнено на 69,1%</t>
  </si>
  <si>
    <t>Основное мероприятие 1.</t>
  </si>
  <si>
    <t>Обеспечение выполнения функций муниципальных музеев</t>
  </si>
  <si>
    <t>Мероприятие 1.1.</t>
  </si>
  <si>
    <t>Расходы на обеспечение деятельности (оказание услуг) муниципальных учреждений - музеи, галереи</t>
  </si>
  <si>
    <t>Мероприятие 1.4.</t>
  </si>
  <si>
    <t>Сохранение достигнутого уровня заработной платы работников муниципальных учреждений культуры</t>
  </si>
  <si>
    <t>Основное мероприятие 3.</t>
  </si>
  <si>
    <t>Модернизация материально-технической базы, проведение капитального ремонта, текущего ремонта, благоустройство территорий муниципальных музеев Московской области</t>
  </si>
  <si>
    <t>Выполнено на 68,1%</t>
  </si>
  <si>
    <t>Мероприятие 3.4.</t>
  </si>
  <si>
    <t>Выполнение работ по обеспечению пожарной безопасности в муниципальных музеях</t>
  </si>
  <si>
    <t>Подпрограмма 3</t>
  </si>
  <si>
    <t>Развитие библиотечного дела</t>
  </si>
  <si>
    <t>Выполнено на 69,3%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</si>
  <si>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</si>
  <si>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</si>
  <si>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Выполнено на 70,2%</t>
  </si>
  <si>
    <t>Мероприятие 1.2.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</si>
  <si>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</si>
  <si>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Выполнено на 53,2%</t>
  </si>
  <si>
    <t>Мероприятие 1.3.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</si>
  <si>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</si>
  <si>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Выполнено на 100%</t>
  </si>
  <si>
    <t>Модернизация материально-технической базы, проведение капитального ремонта, текущего ремонта, благоустройство территорий муниципальных библиотек Московской области</t>
  </si>
  <si>
    <t>Выполнено на 62,4%</t>
  </si>
  <si>
    <t>Выполнение работ по обеспечению пожарной безопасности в муниципальных библиотеках</t>
  </si>
  <si>
    <t>Подпрограмма 4</t>
  </si>
  <si>
    <t>Развитие профессионального искусства, гастрольно-концертной и культурно-досуговой деятельности, кинематографии</t>
  </si>
  <si>
    <t>Выполнено на 65,2%</t>
  </si>
  <si>
    <t>Основное мероприятие 4.</t>
  </si>
  <si>
    <t>Обеспечение функций культурно-досуговых учреждений</t>
  </si>
  <si>
    <t>Выполнено на 66,8%</t>
  </si>
  <si>
    <t>Мероприятие 4.1.</t>
  </si>
  <si>
    <t>Расходы на обеспечение деятельности (оказание услуг) муниципальных учреждений - культурно-досуговые учреждения</t>
  </si>
  <si>
    <t>Выполнено на 72,1%</t>
  </si>
  <si>
    <t>Мероприятие 4.2.</t>
  </si>
  <si>
    <t>Мероприятия в сфере культуры</t>
  </si>
  <si>
    <t>Выполнено на 58%</t>
  </si>
  <si>
    <t>Основное мероприятие 5.</t>
  </si>
  <si>
    <t>Модернизация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</t>
  </si>
  <si>
    <t>Выполнено на 68,5%</t>
  </si>
  <si>
    <t>Мероприятие 5.6.</t>
  </si>
  <si>
    <t>Выполнение работ по обеспечению пожарной безопасности в культурно-досуговых учреждениях</t>
  </si>
  <si>
    <t>Основное мероприятие 7.</t>
  </si>
  <si>
    <t>Обеспечение функций муниципальных учреждений культуры Московской области</t>
  </si>
  <si>
    <t>Выполнено на 18,6%</t>
  </si>
  <si>
    <t>Мероприятие 7.1.</t>
  </si>
  <si>
    <t>Укрепление материально-технической базы муниципальных учреждений культуры</t>
  </si>
  <si>
    <t>Создание доступной среды</t>
  </si>
  <si>
    <t>Создание доступной среды в муниципальных учреждениях культуры</t>
  </si>
  <si>
    <t>Подпрограмма 6</t>
  </si>
  <si>
    <t>Развитие образования в сфере культуры</t>
  </si>
  <si>
    <t>Выполнено на 67,3%</t>
  </si>
  <si>
    <t>Обеспечение функций муниципальных организаций дополнительного образования сферы культуры</t>
  </si>
  <si>
    <t>Выполнено на 70,9%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</si>
  <si>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</si>
  <si>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Обеспечение пожарной безопасности и создание доступной среды</t>
  </si>
  <si>
    <t>Выполнено на 73,1%</t>
  </si>
  <si>
    <t>Выполнение работ по обеспечению пожарной безопасности в организациях дополнительного образования сферы культуры</t>
  </si>
  <si>
    <t>Основное мероприятие A1.</t>
  </si>
  <si>
    <t>Культурная среда</t>
  </si>
  <si>
    <t>Мероприятие A1.1.</t>
  </si>
  <si>
    <t>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культуры)</t>
  </si>
  <si>
    <t>Мероприятие A1.2.</t>
  </si>
  <si>
    <t>Приобретение музыкальных инструментов для муниципальных организаций дополнительного образования в сфере культуры</t>
  </si>
  <si>
    <t>Подпрограмма 8</t>
  </si>
  <si>
    <t>Обеспечивающая подпрограмма</t>
  </si>
  <si>
    <t>Выполнено на 69,41%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</si>
  <si>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</si>
  <si>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</si>
  <si>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ОПЕРАТИВНЫЙ ОТЧЕТ О ВЫПОЛНЕНИИ МУНИЦИПАЛЬНЫХ ПРОГРАММ ГОРОДСКОГО ОКРУГА РЕУТОВ ЗА 3 КВАРТАЛ 2023 ГОДА</t>
  </si>
  <si>
    <t>Общее образование</t>
  </si>
  <si>
    <t>Выполнено на 62%</t>
  </si>
  <si>
    <t>Финансовое обеспечение деятельности образовательных организаций</t>
  </si>
  <si>
    <t>Выполнено на 63,2%</t>
  </si>
  <si>
    <t>Проведение капитального ремонта, технического переоснащения и благоустройства территорий учреждений образования</t>
  </si>
  <si>
    <t>Мероприятие 1.7.</t>
  </si>
  <si>
    <t xml:space="preserve">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</si>
  <si>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Выполнено на 63,4%</t>
  </si>
  <si>
    <t>Мероприятие 1.8.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</si>
  <si>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</si>
  <si>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Выполнено на 75,6%</t>
  </si>
  <si>
    <t>Мероприятие 1.10.</t>
  </si>
  <si>
    <t>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</si>
  <si>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Выполнено на 61,1%</t>
  </si>
  <si>
    <t>Мероприятие 1.11.</t>
  </si>
  <si>
    <t>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</t>
  </si>
  <si>
    <t>Выполнено на 61,6%</t>
  </si>
  <si>
    <t>Мероприятие 1.12.</t>
  </si>
  <si>
    <t>Укрепление материально-технической базы и проведение текущего ремонта общеобразовательных организаций</t>
  </si>
  <si>
    <t>Выполнено на 67,8%</t>
  </si>
  <si>
    <t>Мероприятие 1.13.</t>
  </si>
  <si>
    <t>Профессиональная физическая охрана муниципальных учреждений в сфере общеобразовательных организаций</t>
  </si>
  <si>
    <t>Выполнено на 63,9%</t>
  </si>
  <si>
    <t>Мероприятие 1.14.</t>
  </si>
  <si>
    <t>Организация питания обучающихся и воспитанников общеобразовательных организаций</t>
  </si>
  <si>
    <t>Мероприятие 1.15.</t>
  </si>
  <si>
    <t>Мероприятия в сфере образования</t>
  </si>
  <si>
    <t>Выполнено на 55,7%</t>
  </si>
  <si>
    <t>Мероприятие 1.16.</t>
  </si>
  <si>
    <t>Оснащение и лицензирование медицинских кабинетов образовательных организаций</t>
  </si>
  <si>
    <t>Мероприятие 1.17.</t>
  </si>
  <si>
    <t>Расходы на обеспечение деятельности (оказание услуг) муниципальных учреждений - дошкольные образовательные организации</t>
  </si>
  <si>
    <t>Выполнено на 59,8%</t>
  </si>
  <si>
    <t>Мероприятие 1.18.</t>
  </si>
  <si>
    <t>Укрепление материально-технической базы и проведение текущего ремонта учреждений дошкольного образования</t>
  </si>
  <si>
    <t>Выполнено на 63,8%</t>
  </si>
  <si>
    <t>Мероприятие 1.19.</t>
  </si>
  <si>
    <t>Профессиональная физическая охрана муниципальных учреждений дошкольного образования</t>
  </si>
  <si>
    <t>Выполнено на 66,4%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</si>
  <si>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</si>
  <si>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Выполнено на 49,3%</t>
  </si>
  <si>
    <t>Мероприятие 2.8.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</si>
  <si>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</si>
  <si>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Выполнено на 48,2%</t>
  </si>
  <si>
    <t>Мероприятие 2.10.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</si>
  <si>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</si>
  <si>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Выполнено на 50,6%</t>
  </si>
  <si>
    <t>Мероприятие 2.14.</t>
  </si>
  <si>
    <t>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</t>
  </si>
  <si>
    <t>Выполнено на 85,8%</t>
  </si>
  <si>
    <t>Повышение степени пожарной безопасности</t>
  </si>
  <si>
    <t>Выполнено на 52,4%</t>
  </si>
  <si>
    <t>Мероприятие 3.1.</t>
  </si>
  <si>
    <t>Выполнение работ по обеспечению пожарной безопасности в муниципальных образовательных организациях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</si>
  <si>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</si>
  <si>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Проведение капитального ремонта объектов дошкольного образования, закупка оборудования</t>
  </si>
  <si>
    <t>Основное мероприятие 9.</t>
  </si>
  <si>
    <t>Обеспечение условий доступности для инвалидов объектов и предоставляемых услуг в сфере образования</t>
  </si>
  <si>
    <t>Основное мероприятие EВ.</t>
  </si>
  <si>
    <t>Патриотическое воспитание граждан Российской Федерации</t>
  </si>
  <si>
    <t>Выполнено на 75%</t>
  </si>
  <si>
    <t>Мероприятие EВ.1.</t>
  </si>
  <si>
    <t>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</si>
  <si>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Основное мероприятие P2.</t>
  </si>
  <si>
    <t>Содействие занятости</t>
  </si>
  <si>
    <t>Мероприятие P2.1.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</si>
  <si>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</si>
  <si>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Мероприятие P2.2.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</si>
  <si>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</si>
  <si>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Дополнительное образование, воспитание и психолого-социальное сопровождение детей</t>
  </si>
  <si>
    <t>Финансовое обеспечение деятельности организаций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</si>
  <si>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</si>
  <si>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</si>
  <si>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Выполнено на 53,4%</t>
  </si>
  <si>
    <t>Профессиональная физическая охрана муниципальных учреждений дополнительного образования</t>
  </si>
  <si>
    <t>Выполнено на 66,6%</t>
  </si>
  <si>
    <t>Мероприятия в сфере дополнительного образования</t>
  </si>
  <si>
    <t>Обеспечение функционирования модели персонифицированного финансирования дополнительного образования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</si>
  <si>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</si>
  <si>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Мероприятие 5.1.</t>
  </si>
  <si>
    <t>Выполнение работ по обеспечению пожарной безопасности в муниципальных организациях дополнительного образования</t>
  </si>
  <si>
    <t>Основное мероприятие E2.</t>
  </si>
  <si>
    <t>Успех каждого ребенка</t>
  </si>
  <si>
    <t>Выполнено на 99%</t>
  </si>
  <si>
    <t>Оснащение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</si>
  <si>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Выполнено на 68,6%</t>
  </si>
  <si>
    <t>Обеспечение деятельности муниципальных органов - учреждения в сфере образования</t>
  </si>
  <si>
    <t>Выполнено на 70,8%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</si>
  <si>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 и др.)</t>
  </si>
  <si>
    <t>Выполнено на 65,7%</t>
  </si>
  <si>
    <t>Социальная поддержка граждан</t>
  </si>
  <si>
    <t>Выполнено на 63,3%</t>
  </si>
  <si>
    <t>Социальная поддержка отдельных категорий граждан и почетных граждан Московской области</t>
  </si>
  <si>
    <t>Выполнено на 61%</t>
  </si>
  <si>
    <t>Мероприятие 9.1.</t>
  </si>
  <si>
    <t>Оказание мер социальной поддержки отдельным категориям граждан</t>
  </si>
  <si>
    <t>Мероприятие 9.1.1.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</si>
  <si>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</t>
  </si>
  <si>
    <t>Выполнено на 36,8%</t>
  </si>
  <si>
    <t>Мероприятие 9.1.2.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</si>
  <si>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</si>
  <si>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Выполнено на 99,7%</t>
  </si>
  <si>
    <t>Мероприятие 9.1.3.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</si>
  <si>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</si>
  <si>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Выполнено на 21%</t>
  </si>
  <si>
    <t>Мероприятие 9.1.4.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</si>
  <si>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</si>
  <si>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Выполнено на 27,3%</t>
  </si>
  <si>
    <t>Основное мероприятие 15.</t>
  </si>
  <si>
    <t>Предоставление государственных гарантий муниципальным служащим, поощрение за муниципальную службу</t>
  </si>
  <si>
    <t>Выполнено на 64,5%</t>
  </si>
  <si>
    <t>Мероприятие 15.3.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</si>
  <si>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</si>
  <si>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20.</t>
  </si>
  <si>
    <t>Обеспечение проведения мероприятий, направленных на увеличение продолжительности здоровой жизни</t>
  </si>
  <si>
    <t>Развитие системы отдыха и оздоровления детей</t>
  </si>
  <si>
    <t>Мероприятия по организации отдыха детей в каникулярное время</t>
  </si>
  <si>
    <t>Мероприятие 3.3.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</si>
  <si>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</si>
  <si>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Содействие занятости населения , развитие трудовых ресурсов и охраны труда</t>
  </si>
  <si>
    <t>Профилактика производственного травматизма</t>
  </si>
  <si>
    <t>Выполнено на 61,2%</t>
  </si>
  <si>
    <t>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</t>
  </si>
  <si>
    <t>Мероприятие 3.2.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</si>
  <si>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</si>
  <si>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Развитие и поддержка социально ориентированных некоммерческих организаций</t>
  </si>
  <si>
    <t>Развитие негосударственного сектора социального обслуживания</t>
  </si>
  <si>
    <t>Осуществление имущественной, информационной и консультационной поддержки СО НКО</t>
  </si>
  <si>
    <t>Подпрограмма 7</t>
  </si>
  <si>
    <t>Обеспечение доступности для инвалидов и маломобильных групп населения объектов инфраструктуры и услуг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</si>
  <si>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</si>
  <si>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Проведение мероприятий по обеспечению доступности для инвалидов и маломобильных групп населения объектов инфраструктуры (за исключением сфер культуры, образования, спорта)</t>
  </si>
  <si>
    <t>Выполнено на 84,2%</t>
  </si>
  <si>
    <t>Развитие физической культуры и спорта</t>
  </si>
  <si>
    <t>Выполнено на 63,6%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</si>
  <si>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</si>
  <si>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Выполнено на 59,7%</t>
  </si>
  <si>
    <t>Расходы на обеспечение деятельности муниципальных учреждений в области физической культуры и спорта</t>
  </si>
  <si>
    <t>Предоставление субсидии на иные цели из бюджета муниципального образования муниципальным учреждениям в области физической культуры и спорта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</si>
  <si>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</si>
  <si>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Выполнено на 6,7%</t>
  </si>
  <si>
    <t>Организация и проведение физкультурно-оздоровительных и спортивных мероприятий</t>
  </si>
  <si>
    <t>Выполнено на 70,3%</t>
  </si>
  <si>
    <t>Модернизация и материально-техническое обеспечение объектов физической культуры и спорта, находящихся в собственности муниципальных образований Московской области</t>
  </si>
  <si>
    <t>Выполнено на 54,6%</t>
  </si>
  <si>
    <t>Проведение капитального ремонта муниципальных объектов физической культуры и спорта</t>
  </si>
  <si>
    <t>Выполнение работ по обеспечению пожарной безопасности в муниципальных учреждениях физической культуры и спорта</t>
  </si>
  <si>
    <t>Выполнено на  54,6%</t>
  </si>
  <si>
    <t>Развитие видов спорта</t>
  </si>
  <si>
    <t>Выполнено на 71,3%</t>
  </si>
  <si>
    <t>Развитие вратарского мастерства по футболу</t>
  </si>
  <si>
    <t>Подготовка спортивного резерва</t>
  </si>
  <si>
    <t>Выполнено на 69,9%</t>
  </si>
  <si>
    <t>Подготовка спортивных сборных команд</t>
  </si>
  <si>
    <t>Расходы на обеспечение деятельности муниципальных учреждений, реализующих дополнительные образовательные программы спортивной подготовки</t>
  </si>
  <si>
    <t>Предоставление субсидий на иные цели из бюджета муниципального образования муниципальным учреждениям по подготовке спортивного резерва</t>
  </si>
  <si>
    <t>Выполнено на 79,1%</t>
  </si>
  <si>
    <t>Выполнено на 70,7%</t>
  </si>
  <si>
    <t>Обеспечение деятельности органов местного самоуправления</t>
  </si>
  <si>
    <t>Выполнено на 67,6%</t>
  </si>
  <si>
    <t>Вовлечение в оборот земель сельскохозяйственного назначения и развитие мелиорации</t>
  </si>
  <si>
    <t>Реализация мероприятий в области мелиорации земель сельскохозяйственного назначения</t>
  </si>
  <si>
    <t>Проведение мероприятий по комплексной борьбе с борщевиком Сосновского</t>
  </si>
  <si>
    <t>Обеспечение эпизоотического и ветеринарно-санитарного благополучия и развитие государственной ветеринарной службы</t>
  </si>
  <si>
    <t>Выполнено на 46,7%</t>
  </si>
  <si>
    <t>Сохранение ветеринарно-санитарного благополучия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</si>
  <si>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</si>
  <si>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Выполнено на 50,3%</t>
  </si>
  <si>
    <t>Охрана окружающей среды</t>
  </si>
  <si>
    <t>Выполнено на 98,6%</t>
  </si>
  <si>
    <t>Проведение обследований состояния окружающей среды</t>
  </si>
  <si>
    <t>Проведение наблюдений за состоянием и загрязнением окружающей среды</t>
  </si>
  <si>
    <t>Мероприятие 1.3.1.</t>
  </si>
  <si>
    <t xml:space="preserve"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образования). </t>
  </si>
  <si>
    <t>Мероприятие 1.3.2.</t>
  </si>
  <si>
    <t xml:space="preserve">Профилактические мероприятия по содержанию мест массового пребывания людей. </t>
  </si>
  <si>
    <t>Вовлечение населения в экологические мероприятия</t>
  </si>
  <si>
    <t>Выполнено на 96%</t>
  </si>
  <si>
    <t>Проведение выставок, семинаров</t>
  </si>
  <si>
    <t>Ликвидация накопленного вреда окружающей среде</t>
  </si>
  <si>
    <t>Выполнено на 51%</t>
  </si>
  <si>
    <t>Финансовое обеспечение расходов, направленных на осуществление полномочий в области обращения с отходами</t>
  </si>
  <si>
    <t>Ликвидация несанкционированных свалок</t>
  </si>
  <si>
    <t>Профилактика преступлений и иных правонарушений</t>
  </si>
  <si>
    <t>Выполнено на 53,5%</t>
  </si>
  <si>
    <t>Повышение степени антитеррористической защищенности социально значимых объектов, находящихся в собственности городского округа, и мест с массовым пребыванием людей</t>
  </si>
  <si>
    <t>Выполнено на 55,2%</t>
  </si>
  <si>
    <t>Проведение мероприятий по профилактике терроризма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</si>
  <si>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</si>
  <si>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укрепленности (закупка товаров, работ, услуг)</t>
  </si>
  <si>
    <t>Выполнено на 55,4%</t>
  </si>
  <si>
    <t>Обеспечение деятельности общественных объединений правоохранительной направленности</t>
  </si>
  <si>
    <t>Выполнено на 4%</t>
  </si>
  <si>
    <t>Проведение мероприятий по привлечению граждан, принимающих участие в деятельности народных дружин</t>
  </si>
  <si>
    <t>Материальное стимулирование народных дружинников</t>
  </si>
  <si>
    <t>Выполнено на 4,3%</t>
  </si>
  <si>
    <t>Материально-техническое обеспечение деятельности народных дружин</t>
  </si>
  <si>
    <t>Проведение мероприятий по обеспечению правопорядка и безопасности граждан</t>
  </si>
  <si>
    <t>Осуществление мероприятий по обучению народных дружинников</t>
  </si>
  <si>
    <t>Реализация мероприятий по обеспечению общественного порядка и общественной безопасности, профилактике проявлений экстремизма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</si>
  <si>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</si>
  <si>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Проведение мероприятий по профилактике экстремизма</t>
  </si>
  <si>
    <t>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</si>
  <si>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</si>
  <si>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>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</si>
  <si>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Выполнено на 56%</t>
  </si>
  <si>
    <t>Оказание услуг по предоставлению видеоизображения для системы "Безопасный регион" с видеокамер, установленных в местах массового скопления людей, на детских игровых, спортивных площадках и социальных объектах</t>
  </si>
  <si>
    <t>Мероприятие 4.3.</t>
  </si>
  <si>
    <t>Техническое обслуживание и модернизация оборудования системы "Безопасный регион"</t>
  </si>
  <si>
    <t>Мероприятие 4.4.</t>
  </si>
  <si>
    <t>Обеспечение интеграции в систему "Безопасный регион" видеокамер внешних систем видеонаблюдения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</si>
  <si>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</si>
  <si>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Выполнено на 24,4%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</si>
  <si>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</si>
  <si>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Мероприятие 5.2.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</si>
  <si>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</si>
  <si>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Выполнено на 86,9%</t>
  </si>
  <si>
    <t>Мероприятие 5.3.</t>
  </si>
  <si>
    <t>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</si>
  <si>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Мероприятие 5.4.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</si>
  <si>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"риска",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</si>
  <si>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Мероприятие 5.5.</t>
  </si>
  <si>
    <t>Организация и проведение на территории городского округа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</si>
  <si>
    <t>Развитие похоронного дела</t>
  </si>
  <si>
    <t>Выполнено на 45,4%</t>
  </si>
  <si>
    <t>Мероприятие 7.2.</t>
  </si>
  <si>
    <t>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</si>
  <si>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Выполнено на 58,3%</t>
  </si>
  <si>
    <t>Мероприятие 7.3.</t>
  </si>
  <si>
    <t>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</si>
  <si>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Выполнено на 47,6%</t>
  </si>
  <si>
    <t>Мероприятие 7.6.</t>
  </si>
  <si>
    <t>Зимние и летние работы по содержанию мест захоронений, текущий и капитальный ремонт основных фондов</t>
  </si>
  <si>
    <t>Обеспечение мероприятий по защите населения и территорий от чрезвычайных ситуаций на территории муниципального образования Московской области</t>
  </si>
  <si>
    <t>Выполнено на 1,7%</t>
  </si>
  <si>
    <t>Эксплуатация Системы-112 на территории муниципального образования</t>
  </si>
  <si>
    <t>Содержание и эксплуатация Системы-112</t>
  </si>
  <si>
    <t>Выполнено на 72,7%</t>
  </si>
  <si>
    <t>Организация деятельности единых дежурно-диспетчерских служб</t>
  </si>
  <si>
    <t>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</si>
  <si>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>Формирование, хранение, использование и восполнение резервного фонда для ликвидации чрезвычайных ситуаций муниципального характера</t>
  </si>
  <si>
    <t>Реализация мероприятий по подготовке населения и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</si>
  <si>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>Выполнено на 62,8%</t>
  </si>
  <si>
    <t>Подготовка должностных лиц по вопросам гражданской обороны и предупреждения и ликвидации чрезвычайных ситуаций</t>
  </si>
  <si>
    <t>Выполнено на 15,5%</t>
  </si>
  <si>
    <t>Создание и обеспечение функционирования учебно-консультационных пунктов на территории муниципального образования Московской области</t>
  </si>
  <si>
    <t>Пропаганда знаний в области гражданской обороны и защиты населения и территории от чрезвычайных ситуаций</t>
  </si>
  <si>
    <t>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</si>
  <si>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>Создание, содержание системно-аппаратного комплекса "Безопасный город" на территории муниципального образования Московской области</t>
  </si>
  <si>
    <t>Обеспечение мероприятий гражданской обороны на территории муниципального образования Московской области</t>
  </si>
  <si>
    <t>Выполнено на 59,5%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</si>
  <si>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</t>
  </si>
  <si>
    <t>Выполнено на 45,5%</t>
  </si>
  <si>
    <t>Поддержание в постоянной готовности муниципальной автоматизированной системы централизованного оповещения (далее - МАСЦО)</t>
  </si>
  <si>
    <t>Выполнено на 64,6%</t>
  </si>
  <si>
    <t>Развитие и модернизация МАСЦО</t>
  </si>
  <si>
    <t>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</si>
  <si>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Формирование, хранение, использование и восполнение запасов материально-технических, продовольственных и иных средств в целях гражданской обороны</t>
  </si>
  <si>
    <t>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</si>
  <si>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Выполнено на 98,5%</t>
  </si>
  <si>
    <t>Обеспечение готовности объектов гражданской обороны</t>
  </si>
  <si>
    <t>Проведение учений и тренировок по гражданской обороне</t>
  </si>
  <si>
    <t>Создание и содержание курсов гражданской обороны</t>
  </si>
  <si>
    <t>Пропаганда знаний в области гражданской обороны</t>
  </si>
  <si>
    <t>Мероприятие 3.5.</t>
  </si>
  <si>
    <t>Подготовка безопасных районов для размещения населения, материальных и культурных ценностей, подлежащих эвакуации</t>
  </si>
  <si>
    <t>Обеспечение пожарной безопасности на территории муниципального образования Московской области</t>
  </si>
  <si>
    <t>Выполнено на 58,2%</t>
  </si>
  <si>
    <t>Повышение степени пожарной безопасности на территории муниципального образования Московской области</t>
  </si>
  <si>
    <t>Первичные меры пожарной безопасности на территории муниципального образования</t>
  </si>
  <si>
    <t>Содержание пожарных гидрантов, обеспечение их исправного состояния и готовности к забору воды в любое время года</t>
  </si>
  <si>
    <t>Выполнено на 19%</t>
  </si>
  <si>
    <t>Создание, 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</si>
  <si>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</si>
  <si>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Выполнено на 99,9%</t>
  </si>
  <si>
    <t>Мероприятие 1.5.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</si>
  <si>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</si>
  <si>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Мероприятие 1.6.</t>
  </si>
  <si>
    <t>Организация обучения населения мерам пожарной безопасности</t>
  </si>
  <si>
    <t>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</si>
  <si>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</si>
  <si>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Поддержание общественных объединений добровольной пожарной охраны</t>
  </si>
  <si>
    <t>Выполнено на 37,8%</t>
  </si>
  <si>
    <t>Финансовое обеспечение мероприятий по созданию и эксплуатации объектов противопожарной службы</t>
  </si>
  <si>
    <t>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</si>
  <si>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Обеспечение безопасности населения на водных объектах, расположенных на территории муниципального образования Московской области</t>
  </si>
  <si>
    <t>Выполнение мероприятий по безопасности населения на водных объектах, расположенных на территории Московской области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</si>
  <si>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</si>
  <si>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Создание безопасных мест отдыха для населения на водных объектах</t>
  </si>
  <si>
    <t>Обучение населения, прежде всего детей, плаванию и приемам спасания на воде</t>
  </si>
  <si>
    <t>Выполнено на 71,8%</t>
  </si>
  <si>
    <t>Обеспечение деятельности муниципального казенного учреждения "Единая дежурная диспетчерская служба муниципального образования Московской области"</t>
  </si>
  <si>
    <t>Выполнено на 43%</t>
  </si>
  <si>
    <t>Создание условий для  жилищного строительства</t>
  </si>
  <si>
    <t>Создание условий для развития жилищного строительства</t>
  </si>
  <si>
    <t>Создание системы недопущения возникновения проблемных объектов в сфере жилищного строительства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</si>
  <si>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</si>
  <si>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</si>
  <si>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Реализация мероприятий по обеспечению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</si>
  <si>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</si>
  <si>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Выполнено на 70,5%</t>
  </si>
  <si>
    <t>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</si>
  <si>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</si>
  <si>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жильем отдельных категорий граждан за счет средств федерального бюджета</t>
  </si>
  <si>
    <t>Оказание государственной поддержки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</si>
  <si>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</si>
  <si>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</si>
  <si>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Реализация мероприятий по улучшению жилищных условий многодетных семей</t>
  </si>
  <si>
    <t>Выполнено на 77,9%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</si>
  <si>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</si>
  <si>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</si>
  <si>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Объекты теплоснабжения, инженерные коммуникации</t>
  </si>
  <si>
    <t>Строительство, реконструкция, капитальный ремонт объектов теплоснабжения на территории муниципальных образований Московской области</t>
  </si>
  <si>
    <t>Строительство и реконструкция объектов теплоснабжения муниципальной собственности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</si>
  <si>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</si>
  <si>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</si>
  <si>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Организация учета энергоресурсов в жилищном фонде Московской области</t>
  </si>
  <si>
    <t>Установка, замена, поверка общедомовых приборов учета энергетических ресурсов в многоквартирных домах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</si>
  <si>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</si>
  <si>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>Реализация полномочий в сфере жилищно-коммунального хозяйства</t>
  </si>
  <si>
    <t>Выполнено на 32,2%</t>
  </si>
  <si>
    <t>Финансовое обеспечение расходов, направленных на осуществление полномочий в сфере жилищно-коммунального хозяйства</t>
  </si>
  <si>
    <t xml:space="preserve">Мероприятие 2.5 </t>
  </si>
  <si>
    <t>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</si>
  <si>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Выполнено на 15,2%</t>
  </si>
  <si>
    <t>Инвестиции</t>
  </si>
  <si>
    <t>Выполнено на 76,6%</t>
  </si>
  <si>
    <t>Создание и (или) развитие индустриальных (промышленных) парков, промышленных технопарков, инновационно-технологических центров, промышленных площадок, особых экономических зон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</si>
  <si>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</si>
  <si>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</si>
  <si>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3.1.1.</t>
  </si>
  <si>
    <t>Капитальный ремонт помещения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</si>
  <si>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Выполнено на 43,1%</t>
  </si>
  <si>
    <t>Мероприятие 3.1.2.</t>
  </si>
  <si>
    <t>Оснащение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</si>
  <si>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Выполнено на 96,8%</t>
  </si>
  <si>
    <t>Мероприятие 3.1.3.</t>
  </si>
  <si>
    <t>Текущий ремонт здания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</si>
  <si>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Мероприятие 3.1.4.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</si>
  <si>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</si>
  <si>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Выполнено на 73%</t>
  </si>
  <si>
    <t>Мероприятие 3.1.5.</t>
  </si>
  <si>
    <t>Текущий ремонт здания муниципального бюджетного общеобразовательного учреждения «Средняя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</si>
  <si>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3.1.6.</t>
  </si>
  <si>
    <t>Оснащение профильных информационно- технологических классов муниципального бюджетного общеобразовательного учреждения "Средняя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</si>
  <si>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3.1.7.</t>
  </si>
  <si>
    <t>Текущий ремонт здания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</si>
  <si>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3.1.8.</t>
  </si>
  <si>
    <t>Оснащение профильных естественно-научных классов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</si>
  <si>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3.1.9.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</si>
  <si>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№1» по адресу: Московская область, город Реутов, ул. Лесная, д. 12</t>
  </si>
  <si>
    <t>Мероприятие 3.1.10.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</si>
  <si>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№5» по адресу: Московская область, город Реутов, ул. Г.И.Котовского, д.13</t>
  </si>
  <si>
    <t>Организация работ по поддержке и развитию промышленного потенциала на территории городских округов Московской области</t>
  </si>
  <si>
    <t>Основное мероприятие 8.</t>
  </si>
  <si>
    <t xml:space="preserve">Стимулирование инвестиционной деятельности </t>
  </si>
  <si>
    <t>Развитие конкуренции</t>
  </si>
  <si>
    <t>Основное мероприятие 50.</t>
  </si>
  <si>
    <t>Оценка уровня эффективности, результативности, обеспечение гласности и прозрачности контрактной системы в сфере закупок</t>
  </si>
  <si>
    <t>Основное мероприятие 52.</t>
  </si>
  <si>
    <t>Развитие конкуренции в муниципальном образовании Московской области</t>
  </si>
  <si>
    <t>Развитие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</si>
  <si>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</si>
  <si>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затрат, связанных с приобретением оборудования</t>
  </si>
  <si>
    <t>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</si>
  <si>
    <t>Предоставление в аренду имущества, находящегося в муниципальной собственности, отнесенного к имуществу казны, субъектам малого и среднего предпринимательства, физическим лицам, не являющимся индивидуальными предпринимателями и применяющим специальный налоговый режим «налог на профессиональный доход</t>
  </si>
  <si>
    <t>Развитие потребительского рынка и услуг на территории муниципального образования Московской области</t>
  </si>
  <si>
    <t>Развитие потребительского рынка на территории муниципального образования Московской области</t>
  </si>
  <si>
    <t>Основное мероприятие 51.</t>
  </si>
  <si>
    <t>Развитие сферы общественного питания на территории муниципального образования Московской области</t>
  </si>
  <si>
    <t>Развитие сферы бытовых услуг на территории муниципального образования Московской области</t>
  </si>
  <si>
    <t>Основное мероприятие 53.</t>
  </si>
  <si>
    <t>Участие в организации региональной системы защиты прав потребителей</t>
  </si>
  <si>
    <t>Выполнено на 77,7%</t>
  </si>
  <si>
    <t>Строительство (реконструкция) объектов образования</t>
  </si>
  <si>
    <t>Выполнено на 19,3%</t>
  </si>
  <si>
    <t>Организация строительства (реконструкции) объектов дошкольного образования</t>
  </si>
  <si>
    <t>Организация строительства (реконструкции) объектов общего образования</t>
  </si>
  <si>
    <t>Выполнено на 90,2%</t>
  </si>
  <si>
    <t>Мероприятие 2.9.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</si>
  <si>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 за счет средств местного бюджета</t>
  </si>
  <si>
    <t>Основное мероприятие E1.</t>
  </si>
  <si>
    <t>Современная школа</t>
  </si>
  <si>
    <t>Мероприятие E1.4.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</si>
  <si>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</t>
  </si>
  <si>
    <t>Строительство (реконструкция) объектов физической культуры и спорта</t>
  </si>
  <si>
    <t>Выполнено на 74%</t>
  </si>
  <si>
    <t>Организация строительства (реконструкции) объектов физической культуры и спорта за счет внебюджетных источников</t>
  </si>
  <si>
    <t>Выполнено на 73,6%</t>
  </si>
  <si>
    <t>Мероприятие 51.52</t>
  </si>
  <si>
    <t>Основное мероприятие P5.</t>
  </si>
  <si>
    <t>Спорт – норма жизни</t>
  </si>
  <si>
    <t>Мероприятие P5.1.</t>
  </si>
  <si>
    <t>Капитальные вложения в муниципальные объекты физической культуры и спорта</t>
  </si>
  <si>
    <t>Выполнено на 42,3%</t>
  </si>
  <si>
    <t>Комфортная городская среда</t>
  </si>
  <si>
    <t>Выполнено на 43,8%</t>
  </si>
  <si>
    <t>Благоустройство общественных территорий муниципальных образований Московской области</t>
  </si>
  <si>
    <t>Выполнено на 22,7%</t>
  </si>
  <si>
    <t>Обустройство и установка детских, игровых площадок на территории муниципальных образований</t>
  </si>
  <si>
    <t>Устройство систем наружного освещения в рамках реализации проекта "Светлый город"</t>
  </si>
  <si>
    <t>Выполнено на 68,4%</t>
  </si>
  <si>
    <t>Мероприятие 1.9.</t>
  </si>
  <si>
    <t>Реализация мероприятий по благоустройству территорий общего пользования, связанных с функционированием Московских центральных диаметров</t>
  </si>
  <si>
    <t>Выполнено на 0,2%</t>
  </si>
  <si>
    <t>Мероприятие 1.20.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</si>
  <si>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</si>
  <si>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Выполнено на 48,8%</t>
  </si>
  <si>
    <t>Мероприятие 1.21.</t>
  </si>
  <si>
    <t>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</si>
  <si>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Мероприятие 1.22.</t>
  </si>
  <si>
    <t>Устройство систем наружного освещения в рамках реализации проекта «Светлый город» за счет средств местного бюджета</t>
  </si>
  <si>
    <t>Основное мероприятие F2.</t>
  </si>
  <si>
    <t>Формирование комфортной городской среды</t>
  </si>
  <si>
    <t>Выполнено на 85,1%</t>
  </si>
  <si>
    <t>Мероприятие F2.1.</t>
  </si>
  <si>
    <t>Реализация программ формирования современной городской среды в части благоустройства общественных территорий</t>
  </si>
  <si>
    <t>Выполнено на 96,1%</t>
  </si>
  <si>
    <t>Мероприятие F2.2.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</si>
  <si>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</si>
  <si>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Создание условий для обеспечения комфортного проживания жителей, в том числе в многоквартирных домах на территории Московской области</t>
  </si>
  <si>
    <t>Выполнено на 62,9%</t>
  </si>
  <si>
    <t>Обеспечение комфортной среды проживания на территории муниципального образования Московской области</t>
  </si>
  <si>
    <t>Выполнено на 66,1%</t>
  </si>
  <si>
    <t>Ямочный ремонт асфальтового покрытия дворовых территорий</t>
  </si>
  <si>
    <t>Выполнено на 53,8%</t>
  </si>
  <si>
    <t>Создание и ремонт пешеходных коммуникаций</t>
  </si>
  <si>
    <t>Выполнено на 90%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</si>
  <si>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</si>
  <si>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Выполнено на 25,8%</t>
  </si>
  <si>
    <t>Приобретение коммунальной техники</t>
  </si>
  <si>
    <t>Содержание дворовых территорий</t>
  </si>
  <si>
    <t>Выполнено на 53,1%</t>
  </si>
  <si>
    <t>Содержание в чистоте территории городского округа (общественные пространства)</t>
  </si>
  <si>
    <t>Выполнено на 69,2%</t>
  </si>
  <si>
    <t>Комплексное благоустройство дворовых территорий (установка новых и замена существующих элементов)</t>
  </si>
  <si>
    <t>Выполнено на 59,6%</t>
  </si>
  <si>
    <t>Содержание парков культуры и отдыха</t>
  </si>
  <si>
    <t>Замена и модернизация детских игровых площадок</t>
  </si>
  <si>
    <t>Выполнено на 97,8%</t>
  </si>
  <si>
    <t>Содержание, ремонт и восстановление уличного освещения</t>
  </si>
  <si>
    <t>Выполнено на 54,9%</t>
  </si>
  <si>
    <t>Замена неэнергоэффективных светильников наружного освещения</t>
  </si>
  <si>
    <t>Приведение в надлежащее состояние подъездов в многоквартирных домах</t>
  </si>
  <si>
    <t>Выполнено на 44,3%</t>
  </si>
  <si>
    <t>Ремонт дворовых территорий</t>
  </si>
  <si>
    <t>Выполнено на 52,8%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</si>
  <si>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</si>
  <si>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и градостроительного зонирования муниципального образования</t>
  </si>
  <si>
    <t>Обеспечение разработки и внесение изменений в нормативы градостроительного проектирования городского округа</t>
  </si>
  <si>
    <t>Разработка и внесение изменений в нормативы градостроительного проектирования городского округа</t>
  </si>
  <si>
    <t>Обеспечение рассмотрения и утверждения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(внесение изменений в нормативы градостроительного проектирования) городского округа</t>
  </si>
  <si>
    <t>Реализация политики пространственного развития городского округа</t>
  </si>
  <si>
    <t>Выполнено на 62,3%</t>
  </si>
  <si>
    <t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</t>
  </si>
  <si>
    <t>Осуществление отдельных государственных полномочий в части присвоения адресов объектам адресации и согласования переустройства (или перепланировки) помещений в многоквартирном доме</t>
  </si>
  <si>
    <t>Обеспечение мер по ликвидации самовольных, недостроенных и аварийных объектов на территории муниципального образования Московской области</t>
  </si>
  <si>
    <t>Выполнено на 69,4%</t>
  </si>
  <si>
    <t>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</si>
  <si>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</si>
  <si>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</si>
  <si>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</si>
  <si>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</si>
  <si>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Выполнено на 31,2%</t>
  </si>
  <si>
    <t>Информационная инфраструктура</t>
  </si>
  <si>
    <t>Выполнено на 14,2%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</si>
  <si>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</si>
  <si>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</si>
  <si>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Выполнено на 53,6%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</si>
  <si>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</t>
  </si>
  <si>
    <t>Обеспечение оборудованием и поддержание его работоспособности</t>
  </si>
  <si>
    <t>Выполнено на 12,4%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</si>
  <si>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</si>
  <si>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Информационная безопасность</t>
  </si>
  <si>
    <t>Выполнено на 29%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</si>
  <si>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</si>
  <si>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</si>
  <si>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Выполнено на 37,9%</t>
  </si>
  <si>
    <t>Обеспечение программными продуктами</t>
  </si>
  <si>
    <t>Выполнено на 31,8%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</si>
  <si>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</si>
  <si>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</si>
  <si>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Выполнено на 41,4%</t>
  </si>
  <si>
    <t>Основное мероприятие E4.</t>
  </si>
  <si>
    <t>Цифровая образовательная среда</t>
  </si>
  <si>
    <t>Выполнено на 55,1%</t>
  </si>
  <si>
    <t>Мероприятие E4.4.</t>
  </si>
  <si>
    <t>Обеспечение образовательных организаций материально-технической базой для внедрения цифровой образовательной среды</t>
  </si>
  <si>
    <t>Мероприятие E4.5.</t>
  </si>
  <si>
    <t>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</si>
  <si>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</si>
  <si>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</si>
  <si>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Развитие архивного дела</t>
  </si>
  <si>
    <t>Выполнено на 65,1%</t>
  </si>
  <si>
    <t>Хранение, комплектование, учет и использование архивных документов в муниципальных архивах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</si>
  <si>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</si>
  <si>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</si>
  <si>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Проведение капитального (текущего) ремонта и технического переоснащения помещений, выделенных муниципальным архивам</t>
  </si>
  <si>
    <t>Выполнено на 58,9%</t>
  </si>
  <si>
    <t>Пассажирский транспорт общего пользования</t>
  </si>
  <si>
    <t>Выполнено на 77,6%</t>
  </si>
  <si>
    <t>Обеспечение безопасности населения на объектах транспортной инфраструктуры</t>
  </si>
  <si>
    <t>Обеспечение транспортной безопасности населения Московской области</t>
  </si>
  <si>
    <t>Финансирование работ по обеспечению транспортной безопасности населения Московской области за счет средств местного бюджет</t>
  </si>
  <si>
    <t>Выполнено на 80%</t>
  </si>
  <si>
    <t>Дороги Подмосковья</t>
  </si>
  <si>
    <t>Выполнено на 73,2%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</si>
  <si>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</si>
  <si>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</si>
  <si>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</si>
  <si>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Капитальный ремонт и ремонт автомобильных дорог общего пользования местного значения</t>
  </si>
  <si>
    <t>Выполнено на 79,8%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</si>
  <si>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</si>
  <si>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>Выполнено на 7,8%</t>
  </si>
  <si>
    <t>Мероприятие 4.8.</t>
  </si>
  <si>
    <t>Дорожная деятельность в отношении автомобильных дорог местного значения в границах городского округа</t>
  </si>
  <si>
    <t>Выполнено на 69,5%</t>
  </si>
  <si>
    <t>Мероприятие 4.9.</t>
  </si>
  <si>
    <t>Мероприятия по обеспечению безопасности дорожного движения</t>
  </si>
  <si>
    <t>Выполнено на 30%</t>
  </si>
  <si>
    <t>Выполнено на 73,5%</t>
  </si>
  <si>
    <t>Расходы на обеспечение деятельности (оказание услуг) муниципальных учреждений в сфере дорожного хозяйства</t>
  </si>
  <si>
    <t>Эффективное управление имущественным комплексом</t>
  </si>
  <si>
    <t>Выполнено на 68,9%</t>
  </si>
  <si>
    <t>Управление имуществом, находящимся в муниципальной собственности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</si>
  <si>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</si>
  <si>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Выполнено на 61,7%</t>
  </si>
  <si>
    <t>Взносы на капитальный ремонт общего имущества многоквартирных домов</t>
  </si>
  <si>
    <t>Организация в соответствии с Федеральным законом от 24 июля 2007 № 221-ФЗ "О кадастровой деятельности" выполнения комплексных кадастровых работ и утверждение карты-плана территории</t>
  </si>
  <si>
    <t>Выполнено на 47,2%</t>
  </si>
  <si>
    <t>Создание условий для реализации государственных полномочий в области земельных отношений</t>
  </si>
  <si>
    <t>Выполнено на 66,5%</t>
  </si>
  <si>
    <t>Обеспечение осуществления органами местного самоуправления муниципальных образований Московской области отдельных государственных полномочий Московской области в области земельных отношений</t>
  </si>
  <si>
    <t>Обеспечение деятельности муниципальных органов в сфере земельно-имущественных отношений</t>
  </si>
  <si>
    <t>Управление муниципальным долгом</t>
  </si>
  <si>
    <t>Реализация мероприятий в рамках управления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</si>
  <si>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</si>
  <si>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</si>
  <si>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Управление муниципальными финансами</t>
  </si>
  <si>
    <t>Разработка проекта бюджета и исполнение бюджета городского округа</t>
  </si>
  <si>
    <t>Снижение уровня задолженности по налоговым платежам</t>
  </si>
  <si>
    <t>Функционирование высшего должностного лица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</si>
  <si>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</si>
  <si>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</si>
  <si>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</si>
  <si>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Выполнено на 72,5%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</si>
  <si>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</si>
  <si>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Выполнено на 68,3%</t>
  </si>
  <si>
    <t>Взносы в общественные организации (Уплата членских взносов членами Совета муниципальных образований Московской области)</t>
  </si>
  <si>
    <t>Выполнено на 49,5%</t>
  </si>
  <si>
    <t>Обеспечение деятельности муниципальных центров управления регионом</t>
  </si>
  <si>
    <t>Выполнено на 68%</t>
  </si>
  <si>
    <t>Обеспечение деятельности муниципальных казенных учреждений в сфере закупок товаров, работ, услуг</t>
  </si>
  <si>
    <t>Выполнено на 69,8%</t>
  </si>
  <si>
    <t>Субсидии из бюджета городского округа Московской области бюджетам других городских округов Московской области в целях софинансирования расходных обязательств, возникающих при выполнении полномочий органов местного самоуправления по решению вопросов местного значения</t>
  </si>
  <si>
    <t>Выполнено на 17%</t>
  </si>
  <si>
    <t>Мероприятия, реализуемые в целях создания условий для реализации полномочий органов местного самоуправления</t>
  </si>
  <si>
    <t>Организация и проведение мероприятий по обучению, переобучению, повышению квалификации и обмену опытом специалистов</t>
  </si>
  <si>
    <t>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</t>
  </si>
  <si>
    <t>Выполнено на 61,8%</t>
  </si>
  <si>
    <t>Информирование населения об основных событиях социально-экономического развития и общественно-политической жизни</t>
  </si>
  <si>
    <t>Выполнено на 62,5%</t>
  </si>
  <si>
    <t>Организация создания и эксплуатации сети объектов наружной рекламы</t>
  </si>
  <si>
    <t>Мир и согласие. Новые возможности</t>
  </si>
  <si>
    <t>Организация и проведение мероприятий, направленных на укрепление межэтнических и межконфессиональных отношений</t>
  </si>
  <si>
    <t>Эффективное местное самоуправление</t>
  </si>
  <si>
    <t>Практики инициативного бюджетирования</t>
  </si>
  <si>
    <t>Реализация на территориях муниципальных образований проектов граждан, сформированных в рамках практик инициативного бюджетирования</t>
  </si>
  <si>
    <t>Молодежь Подмосковья</t>
  </si>
  <si>
    <t>Выполнено на 91,9%</t>
  </si>
  <si>
    <t>Вовлечение молодежи в общественную жизнь</t>
  </si>
  <si>
    <t>Выполнено на 81,4%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</si>
  <si>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</si>
  <si>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</t>
  </si>
  <si>
    <t>Выполнено на 94%</t>
  </si>
  <si>
    <t>Проведение мероприятий по обеспечению занятости несовершеннолетних</t>
  </si>
  <si>
    <t>Развитие добровольчества (волонтерства) в городском округе Московской области</t>
  </si>
  <si>
    <t>Организация и проведение мероприятий, направленных на популяризацию добровольчества (волонтерства)</t>
  </si>
  <si>
    <t>Осуществление первичного воинского учета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</si>
  <si>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</si>
  <si>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Корректировка списков кандидатов в присяжные заседатели федеральных судов общей юрисдикции в Российской Федерации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</si>
  <si>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</si>
  <si>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Выполнено на 56,5%</t>
  </si>
  <si>
    <t>Выполнено на 38,6%</t>
  </si>
  <si>
    <t>Выполнено на 46,1%</t>
  </si>
  <si>
    <t>Выполнено на 62,7%</t>
  </si>
  <si>
    <t>Выполнено на 46,5%</t>
  </si>
  <si>
    <t>Выполнено на 45,2%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</si>
</sst>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4" fillId="0" borderId="0">
      <protection locked="0"/>
    </xf>
  </cellStyleXfs>
  <cellXfs count="79">
    <xf numFmtId="0" fontId="0" fillId="0" borderId="0" xfId="0"/>
    <xf numFmtId="0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left" vertical="center" wrapText="1"/>
      <protection locked="0"/>
    </xf>
    <xf numFmtId="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right"/>
    </xf>
    <xf numFmtId="0" fontId="12" fillId="2" borderId="8" xfId="0" applyNumberFormat="1" applyFont="1" applyFill="1" applyBorder="1" applyAlignment="1" applyProtection="1">
      <alignment horizontal="left" vertical="center" wrapText="1"/>
      <protection locked="0"/>
    </xf>
    <xf numFmtId="4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12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8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34" xfId="0" applyNumberFormat="1" applyFont="1" applyFill="1" applyBorder="1" applyAlignment="1" applyProtection="1">
      <alignment horizontal="left" vertical="center" wrapText="1"/>
      <protection locked="0"/>
    </xf>
    <xf numFmtId="4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10" fillId="2" borderId="15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/>
    </xf>
    <xf numFmtId="0" fontId="10" fillId="2" borderId="16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/>
    </xf>
    <xf numFmtId="0" fontId="10" fillId="2" borderId="21" xfId="0" applyFont="1" applyFill="1" applyBorder="1" applyAlignment="1">
      <alignment horizontal="center" vertical="top" wrapText="1"/>
    </xf>
    <xf numFmtId="0" fontId="10" fillId="2" borderId="22" xfId="0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6" xfId="0" applyNumberFormat="1" applyFont="1" applyFill="1" applyBorder="1" applyAlignment="1" applyProtection="1">
      <alignment horizontal="center" vertical="top"/>
      <protection locked="0"/>
    </xf>
    <xf numFmtId="0" fontId="7" fillId="2" borderId="2" xfId="0" applyNumberFormat="1" applyFont="1" applyFill="1" applyBorder="1" applyAlignment="1" applyProtection="1">
      <alignment horizontal="center" vertical="top"/>
      <protection locked="0"/>
    </xf>
    <xf numFmtId="0" fontId="7" fillId="2" borderId="7" xfId="0" applyNumberFormat="1" applyFont="1" applyFill="1" applyBorder="1" applyAlignment="1" applyProtection="1">
      <alignment horizontal="center" vertical="top"/>
      <protection locked="0"/>
    </xf>
    <xf numFmtId="0" fontId="10" fillId="2" borderId="15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top"/>
    </xf>
    <xf numFmtId="4" fontId="12" fillId="2" borderId="36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36" xfId="0" applyNumberFormat="1" applyFont="1" applyFill="1" applyBorder="1" applyAlignment="1" applyProtection="1">
      <alignment horizontal="center" vertical="center" wrapText="1"/>
      <protection locked="0"/>
    </xf>
    <xf numFmtId="4" fontId="12" fillId="2" borderId="3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9" xfId="0" applyNumberFormat="1" applyFont="1" applyFill="1" applyBorder="1" applyAlignment="1" applyProtection="1">
      <alignment horizontal="right" vertical="center"/>
      <protection locked="0"/>
    </xf>
    <xf numFmtId="0" fontId="6" fillId="2" borderId="10" xfId="0" applyNumberFormat="1" applyFont="1" applyFill="1" applyBorder="1" applyAlignment="1" applyProtection="1">
      <alignment horizontal="right" vertical="center"/>
      <protection locked="0"/>
    </xf>
    <xf numFmtId="0" fontId="6" fillId="2" borderId="11" xfId="0" applyNumberFormat="1" applyFont="1" applyFill="1" applyBorder="1" applyAlignment="1" applyProtection="1">
      <alignment horizontal="right" vertical="center"/>
      <protection locked="0"/>
    </xf>
    <xf numFmtId="4" fontId="6" fillId="2" borderId="2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>
      <alignment horizontal="right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4" fontId="6" fillId="2" borderId="23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4" fontId="6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18" xfId="0" applyFont="1" applyFill="1" applyBorder="1" applyAlignment="1">
      <alignment horizontal="right" vertical="center" wrapText="1"/>
    </xf>
    <xf numFmtId="0" fontId="8" fillId="2" borderId="19" xfId="0" applyFont="1" applyFill="1" applyBorder="1" applyAlignment="1">
      <alignment horizontal="right" vertical="center" wrapText="1"/>
    </xf>
    <xf numFmtId="0" fontId="8" fillId="2" borderId="20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DDBF8"/>
      <color rgb="FFFEE8FB"/>
      <color rgb="FF99FF33"/>
      <color rgb="FFFDE0C3"/>
      <color rgb="FFC5E5CD"/>
      <color rgb="FFD6FEEE"/>
      <color rgb="FFF0F5FE"/>
      <color rgb="FFC5E9E5"/>
      <color rgb="FFCFF5FD"/>
      <color rgb="FFC9E5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8"/>
  <sheetViews>
    <sheetView tabSelected="1" topLeftCell="A421" zoomScale="90" zoomScaleNormal="90" workbookViewId="0">
      <selection activeCell="L250" sqref="L250"/>
    </sheetView>
  </sheetViews>
  <sheetFormatPr defaultColWidth="8.85546875" defaultRowHeight="22.5" customHeight="1" x14ac:dyDescent="0.2"/>
  <cols>
    <col min="1" max="1" width="3.7109375" style="14" customWidth="1"/>
    <col min="2" max="2" width="14.28515625" style="14" customWidth="1"/>
    <col min="3" max="3" width="18.42578125" style="13" customWidth="1"/>
    <col min="4" max="4" width="62.7109375" style="13" customWidth="1"/>
    <col min="5" max="5" width="16.7109375" style="23" customWidth="1"/>
    <col min="6" max="6" width="15.42578125" style="23" customWidth="1"/>
    <col min="7" max="7" width="32.28515625" style="24" customWidth="1"/>
    <col min="8" max="8" width="17.28515625" style="23" customWidth="1"/>
    <col min="9" max="16384" width="8.85546875" style="13"/>
  </cols>
  <sheetData>
    <row r="1" spans="1:8" ht="8.25" customHeight="1" x14ac:dyDescent="0.2">
      <c r="A1" s="35" t="s">
        <v>123</v>
      </c>
      <c r="B1" s="36"/>
      <c r="C1" s="36"/>
      <c r="D1" s="36"/>
      <c r="E1" s="36"/>
      <c r="F1" s="36"/>
      <c r="G1" s="36"/>
      <c r="H1" s="37"/>
    </row>
    <row r="2" spans="1:8" ht="9.75" customHeight="1" x14ac:dyDescent="0.2">
      <c r="A2" s="38"/>
      <c r="B2" s="39"/>
      <c r="C2" s="39"/>
      <c r="D2" s="39"/>
      <c r="E2" s="39"/>
      <c r="F2" s="39"/>
      <c r="G2" s="39"/>
      <c r="H2" s="40"/>
    </row>
    <row r="3" spans="1:8" ht="74.25" customHeight="1" x14ac:dyDescent="0.2">
      <c r="A3" s="9" t="s">
        <v>0</v>
      </c>
      <c r="B3" s="9" t="s">
        <v>1</v>
      </c>
      <c r="C3" s="8" t="s">
        <v>25</v>
      </c>
      <c r="D3" s="8" t="s">
        <v>2</v>
      </c>
      <c r="E3" s="7" t="s">
        <v>29</v>
      </c>
      <c r="F3" s="7" t="s">
        <v>28</v>
      </c>
      <c r="G3" s="10" t="s">
        <v>3</v>
      </c>
      <c r="H3" s="7" t="s">
        <v>4</v>
      </c>
    </row>
    <row r="4" spans="1:8" ht="13.5" customHeight="1" thickBot="1" x14ac:dyDescent="0.25">
      <c r="A4" s="11">
        <v>1</v>
      </c>
      <c r="B4" s="12">
        <v>2</v>
      </c>
      <c r="C4" s="1">
        <v>3</v>
      </c>
      <c r="D4" s="2">
        <v>4</v>
      </c>
      <c r="E4" s="1">
        <v>5</v>
      </c>
      <c r="F4" s="1">
        <v>6</v>
      </c>
      <c r="G4" s="2">
        <v>7</v>
      </c>
      <c r="H4" s="1">
        <v>8</v>
      </c>
    </row>
    <row r="5" spans="1:8" ht="22.5" customHeight="1" x14ac:dyDescent="0.2">
      <c r="A5" s="48">
        <v>1</v>
      </c>
      <c r="B5" s="50" t="s">
        <v>5</v>
      </c>
      <c r="C5" s="16" t="s">
        <v>30</v>
      </c>
      <c r="D5" s="16" t="s">
        <v>31</v>
      </c>
      <c r="E5" s="17">
        <f>E6</f>
        <v>0</v>
      </c>
      <c r="F5" s="17">
        <f>F6</f>
        <v>0</v>
      </c>
      <c r="G5" s="17" t="s">
        <v>42</v>
      </c>
      <c r="H5" s="57">
        <f>H6</f>
        <v>0</v>
      </c>
    </row>
    <row r="6" spans="1:8" ht="22.5" customHeight="1" x14ac:dyDescent="0.2">
      <c r="A6" s="49"/>
      <c r="B6" s="51"/>
      <c r="C6" s="4" t="s">
        <v>32</v>
      </c>
      <c r="D6" s="4" t="s">
        <v>33</v>
      </c>
      <c r="E6" s="5">
        <f>0</f>
        <v>0</v>
      </c>
      <c r="F6" s="5">
        <f>0</f>
        <v>0</v>
      </c>
      <c r="G6" s="5" t="s">
        <v>42</v>
      </c>
      <c r="H6" s="58">
        <f>0</f>
        <v>0</v>
      </c>
    </row>
    <row r="7" spans="1:8" ht="22.5" customHeight="1" x14ac:dyDescent="0.2">
      <c r="A7" s="49"/>
      <c r="B7" s="51"/>
      <c r="C7" s="16" t="s">
        <v>36</v>
      </c>
      <c r="D7" s="16" t="s">
        <v>37</v>
      </c>
      <c r="E7" s="17">
        <f>E8</f>
        <v>1000</v>
      </c>
      <c r="F7" s="17">
        <f>F8</f>
        <v>360</v>
      </c>
      <c r="G7" s="17" t="s">
        <v>38</v>
      </c>
      <c r="H7" s="57">
        <f>H8</f>
        <v>360</v>
      </c>
    </row>
    <row r="8" spans="1:8" ht="22.5" customHeight="1" x14ac:dyDescent="0.2">
      <c r="A8" s="49"/>
      <c r="B8" s="51"/>
      <c r="C8" s="4" t="s">
        <v>32</v>
      </c>
      <c r="D8" s="4" t="s">
        <v>39</v>
      </c>
      <c r="E8" s="5">
        <f>E9+E10+E11+E12+E13</f>
        <v>1000</v>
      </c>
      <c r="F8" s="5">
        <f>F9+F10+F11+F12+F13</f>
        <v>360</v>
      </c>
      <c r="G8" s="5" t="s">
        <v>38</v>
      </c>
      <c r="H8" s="58">
        <f>H9+H10+H11+H12+H13</f>
        <v>360</v>
      </c>
    </row>
    <row r="9" spans="1:8" ht="22.5" customHeight="1" x14ac:dyDescent="0.2">
      <c r="A9" s="49"/>
      <c r="B9" s="51"/>
      <c r="C9" s="6" t="s">
        <v>34</v>
      </c>
      <c r="D9" s="4" t="s">
        <v>40</v>
      </c>
      <c r="E9" s="5">
        <f>460</f>
        <v>460</v>
      </c>
      <c r="F9" s="5">
        <f>0</f>
        <v>0</v>
      </c>
      <c r="G9" s="5" t="s">
        <v>9</v>
      </c>
      <c r="H9" s="58">
        <f>0</f>
        <v>0</v>
      </c>
    </row>
    <row r="10" spans="1:8" ht="22.5" customHeight="1" x14ac:dyDescent="0.2">
      <c r="A10" s="49"/>
      <c r="B10" s="51"/>
      <c r="C10" s="6" t="s">
        <v>35</v>
      </c>
      <c r="D10" s="4" t="s">
        <v>41</v>
      </c>
      <c r="E10" s="5">
        <f>0</f>
        <v>0</v>
      </c>
      <c r="F10" s="5">
        <f>0</f>
        <v>0</v>
      </c>
      <c r="G10" s="5" t="s">
        <v>42</v>
      </c>
      <c r="H10" s="58">
        <f>0</f>
        <v>0</v>
      </c>
    </row>
    <row r="11" spans="1:8" ht="22.5" customHeight="1" x14ac:dyDescent="0.2">
      <c r="A11" s="49"/>
      <c r="B11" s="51"/>
      <c r="C11" s="6" t="s">
        <v>43</v>
      </c>
      <c r="D11" s="4" t="s">
        <v>44</v>
      </c>
      <c r="E11" s="5">
        <f>0</f>
        <v>0</v>
      </c>
      <c r="F11" s="5">
        <f>0</f>
        <v>0</v>
      </c>
      <c r="G11" s="5" t="s">
        <v>42</v>
      </c>
      <c r="H11" s="58">
        <f>0</f>
        <v>0</v>
      </c>
    </row>
    <row r="12" spans="1:8" ht="22.5" customHeight="1" x14ac:dyDescent="0.2">
      <c r="A12" s="49"/>
      <c r="B12" s="51"/>
      <c r="C12" s="6" t="s">
        <v>45</v>
      </c>
      <c r="D12" s="4" t="s">
        <v>46</v>
      </c>
      <c r="E12" s="5">
        <f>540</f>
        <v>540</v>
      </c>
      <c r="F12" s="5">
        <f>360</f>
        <v>360</v>
      </c>
      <c r="G12" s="5" t="s">
        <v>47</v>
      </c>
      <c r="H12" s="58">
        <f>360</f>
        <v>360</v>
      </c>
    </row>
    <row r="13" spans="1:8" ht="22.5" customHeight="1" x14ac:dyDescent="0.2">
      <c r="A13" s="49"/>
      <c r="B13" s="51"/>
      <c r="C13" s="6" t="s">
        <v>48</v>
      </c>
      <c r="D13" s="4" t="s">
        <v>49</v>
      </c>
      <c r="E13" s="5">
        <f>0</f>
        <v>0</v>
      </c>
      <c r="F13" s="5">
        <f>0</f>
        <v>0</v>
      </c>
      <c r="G13" s="5" t="s">
        <v>42</v>
      </c>
      <c r="H13" s="58">
        <f>0</f>
        <v>0</v>
      </c>
    </row>
    <row r="14" spans="1:8" ht="22.5" customHeight="1" thickBot="1" x14ac:dyDescent="0.25">
      <c r="A14" s="60" t="s">
        <v>6</v>
      </c>
      <c r="B14" s="61"/>
      <c r="C14" s="61"/>
      <c r="D14" s="62"/>
      <c r="E14" s="63">
        <f>E5+E7</f>
        <v>1000</v>
      </c>
      <c r="F14" s="63">
        <f>F5+F7</f>
        <v>360</v>
      </c>
      <c r="G14" s="64" t="s">
        <v>38</v>
      </c>
      <c r="H14" s="65">
        <f>H5+H7</f>
        <v>360</v>
      </c>
    </row>
    <row r="15" spans="1:8" ht="22.5" customHeight="1" x14ac:dyDescent="0.2">
      <c r="A15" s="27">
        <v>2</v>
      </c>
      <c r="B15" s="52" t="s">
        <v>7</v>
      </c>
      <c r="C15" s="16" t="s">
        <v>50</v>
      </c>
      <c r="D15" s="16" t="s">
        <v>51</v>
      </c>
      <c r="E15" s="17">
        <f>E16+E19</f>
        <v>11623.710000000001</v>
      </c>
      <c r="F15" s="17">
        <f>F16+F19</f>
        <v>8031.37</v>
      </c>
      <c r="G15" s="17" t="s">
        <v>52</v>
      </c>
      <c r="H15" s="57">
        <f>H16+H19</f>
        <v>8031.37</v>
      </c>
    </row>
    <row r="16" spans="1:8" ht="22.5" customHeight="1" x14ac:dyDescent="0.2">
      <c r="A16" s="27"/>
      <c r="B16" s="52"/>
      <c r="C16" s="4" t="s">
        <v>53</v>
      </c>
      <c r="D16" s="4" t="s">
        <v>54</v>
      </c>
      <c r="E16" s="5">
        <f>E17+E18</f>
        <v>11509.61</v>
      </c>
      <c r="F16" s="5">
        <f>F17+F18</f>
        <v>7953.67</v>
      </c>
      <c r="G16" s="3" t="s">
        <v>52</v>
      </c>
      <c r="H16" s="58">
        <f>H17+H18</f>
        <v>7953.67</v>
      </c>
    </row>
    <row r="17" spans="1:8" ht="22.5" customHeight="1" x14ac:dyDescent="0.2">
      <c r="A17" s="27"/>
      <c r="B17" s="52"/>
      <c r="C17" s="6" t="s">
        <v>55</v>
      </c>
      <c r="D17" s="4" t="s">
        <v>56</v>
      </c>
      <c r="E17" s="5">
        <f>11143.53+366.08</f>
        <v>11509.61</v>
      </c>
      <c r="F17" s="5">
        <f>7871.93+81.74</f>
        <v>7953.67</v>
      </c>
      <c r="G17" s="3" t="s">
        <v>52</v>
      </c>
      <c r="H17" s="58">
        <f>7871.93+81.74</f>
        <v>7953.67</v>
      </c>
    </row>
    <row r="18" spans="1:8" ht="22.5" customHeight="1" x14ac:dyDescent="0.2">
      <c r="A18" s="27"/>
      <c r="B18" s="52"/>
      <c r="C18" s="6" t="s">
        <v>57</v>
      </c>
      <c r="D18" s="4" t="s">
        <v>58</v>
      </c>
      <c r="E18" s="5">
        <f>0</f>
        <v>0</v>
      </c>
      <c r="F18" s="5">
        <f>0</f>
        <v>0</v>
      </c>
      <c r="G18" s="5" t="s">
        <v>42</v>
      </c>
      <c r="H18" s="58">
        <f>0</f>
        <v>0</v>
      </c>
    </row>
    <row r="19" spans="1:8" ht="22.5" customHeight="1" x14ac:dyDescent="0.2">
      <c r="A19" s="27"/>
      <c r="B19" s="52"/>
      <c r="C19" s="4" t="s">
        <v>59</v>
      </c>
      <c r="D19" s="4" t="s">
        <v>60</v>
      </c>
      <c r="E19" s="5">
        <f>E20</f>
        <v>114.1</v>
      </c>
      <c r="F19" s="5">
        <f>F20</f>
        <v>77.7</v>
      </c>
      <c r="G19" s="5" t="s">
        <v>61</v>
      </c>
      <c r="H19" s="58">
        <f>H20</f>
        <v>77.7</v>
      </c>
    </row>
    <row r="20" spans="1:8" ht="22.5" customHeight="1" x14ac:dyDescent="0.2">
      <c r="A20" s="27"/>
      <c r="B20" s="52"/>
      <c r="C20" s="6" t="s">
        <v>62</v>
      </c>
      <c r="D20" s="4" t="s">
        <v>63</v>
      </c>
      <c r="E20" s="5">
        <f>114.1</f>
        <v>114.1</v>
      </c>
      <c r="F20" s="5">
        <f>77.7</f>
        <v>77.7</v>
      </c>
      <c r="G20" s="5" t="s">
        <v>61</v>
      </c>
      <c r="H20" s="58">
        <f>77.7</f>
        <v>77.7</v>
      </c>
    </row>
    <row r="21" spans="1:8" ht="22.5" customHeight="1" x14ac:dyDescent="0.2">
      <c r="A21" s="27"/>
      <c r="B21" s="52"/>
      <c r="C21" s="16" t="s">
        <v>64</v>
      </c>
      <c r="D21" s="16" t="s">
        <v>65</v>
      </c>
      <c r="E21" s="17">
        <f>E22+E27</f>
        <v>35219.879999999997</v>
      </c>
      <c r="F21" s="17">
        <f>F22+F27</f>
        <v>24406.5</v>
      </c>
      <c r="G21" s="17" t="s">
        <v>66</v>
      </c>
      <c r="H21" s="57">
        <f>H22+H27</f>
        <v>24406.5</v>
      </c>
    </row>
    <row r="22" spans="1:8" ht="22.5" customHeight="1" x14ac:dyDescent="0.2">
      <c r="A22" s="27"/>
      <c r="B22" s="52"/>
      <c r="C22" s="4" t="s">
        <v>53</v>
      </c>
      <c r="D22" s="4" t="s">
        <v>67</v>
      </c>
      <c r="E22" s="5">
        <f>E23+E24+E25+E26</f>
        <v>34783.879999999997</v>
      </c>
      <c r="F22" s="5">
        <f>F23+F24+F25+F26</f>
        <v>24134.5</v>
      </c>
      <c r="G22" s="5" t="s">
        <v>66</v>
      </c>
      <c r="H22" s="58">
        <f>H23+H24+H25+H26</f>
        <v>24134.5</v>
      </c>
    </row>
    <row r="23" spans="1:8" ht="22.5" customHeight="1" x14ac:dyDescent="0.2">
      <c r="A23" s="27"/>
      <c r="B23" s="52"/>
      <c r="C23" s="6" t="s">
        <v>55</v>
      </c>
      <c r="D23" s="4" t="s">
        <v>68</v>
      </c>
      <c r="E23" s="5">
        <f>32873.6</f>
        <v>32873.599999999999</v>
      </c>
      <c r="F23" s="5">
        <f>23093.43</f>
        <v>23093.43</v>
      </c>
      <c r="G23" s="5" t="s">
        <v>69</v>
      </c>
      <c r="H23" s="58">
        <f>23093.43</f>
        <v>23093.43</v>
      </c>
    </row>
    <row r="24" spans="1:8" ht="22.5" customHeight="1" x14ac:dyDescent="0.2">
      <c r="A24" s="27"/>
      <c r="B24" s="52"/>
      <c r="C24" s="6" t="s">
        <v>70</v>
      </c>
      <c r="D24" s="4" t="s">
        <v>71</v>
      </c>
      <c r="E24" s="5">
        <f>200.21</f>
        <v>200.21</v>
      </c>
      <c r="F24" s="5">
        <f>106.59</f>
        <v>106.59</v>
      </c>
      <c r="G24" s="5" t="s">
        <v>72</v>
      </c>
      <c r="H24" s="58">
        <f>106.59</f>
        <v>106.59</v>
      </c>
    </row>
    <row r="25" spans="1:8" ht="22.5" customHeight="1" x14ac:dyDescent="0.2">
      <c r="A25" s="27"/>
      <c r="B25" s="52"/>
      <c r="C25" s="6" t="s">
        <v>73</v>
      </c>
      <c r="D25" s="4" t="s">
        <v>74</v>
      </c>
      <c r="E25" s="5">
        <f>151.92+222.5+283.18</f>
        <v>657.59999999999991</v>
      </c>
      <c r="F25" s="5">
        <f>151.91+222.5+283.18</f>
        <v>657.58999999999992</v>
      </c>
      <c r="G25" s="5" t="s">
        <v>75</v>
      </c>
      <c r="H25" s="58">
        <f>151.91+222.5+283.18</f>
        <v>657.58999999999992</v>
      </c>
    </row>
    <row r="26" spans="1:8" ht="22.5" customHeight="1" x14ac:dyDescent="0.2">
      <c r="A26" s="27"/>
      <c r="B26" s="52"/>
      <c r="C26" s="6" t="s">
        <v>57</v>
      </c>
      <c r="D26" s="4" t="s">
        <v>58</v>
      </c>
      <c r="E26" s="5">
        <f>1052.47</f>
        <v>1052.47</v>
      </c>
      <c r="F26" s="5">
        <f>276.89</f>
        <v>276.89</v>
      </c>
      <c r="G26" s="5" t="s">
        <v>27</v>
      </c>
      <c r="H26" s="58">
        <f>276.89</f>
        <v>276.89</v>
      </c>
    </row>
    <row r="27" spans="1:8" ht="22.5" customHeight="1" x14ac:dyDescent="0.2">
      <c r="A27" s="27"/>
      <c r="B27" s="52"/>
      <c r="C27" s="4" t="s">
        <v>32</v>
      </c>
      <c r="D27" s="4" t="s">
        <v>76</v>
      </c>
      <c r="E27" s="5">
        <f>E28</f>
        <v>436</v>
      </c>
      <c r="F27" s="5">
        <f>F28</f>
        <v>272</v>
      </c>
      <c r="G27" s="5" t="s">
        <v>77</v>
      </c>
      <c r="H27" s="58">
        <f>H28</f>
        <v>272</v>
      </c>
    </row>
    <row r="28" spans="1:8" ht="22.5" customHeight="1" x14ac:dyDescent="0.2">
      <c r="A28" s="27"/>
      <c r="B28" s="52"/>
      <c r="C28" s="6" t="s">
        <v>43</v>
      </c>
      <c r="D28" s="4" t="s">
        <v>78</v>
      </c>
      <c r="E28" s="5">
        <f>436</f>
        <v>436</v>
      </c>
      <c r="F28" s="5">
        <f>272</f>
        <v>272</v>
      </c>
      <c r="G28" s="5" t="s">
        <v>77</v>
      </c>
      <c r="H28" s="58">
        <f>272</f>
        <v>272</v>
      </c>
    </row>
    <row r="29" spans="1:8" ht="22.5" customHeight="1" x14ac:dyDescent="0.2">
      <c r="A29" s="27"/>
      <c r="B29" s="52"/>
      <c r="C29" s="16" t="s">
        <v>79</v>
      </c>
      <c r="D29" s="16" t="s">
        <v>80</v>
      </c>
      <c r="E29" s="17">
        <f>E30+E33+E35</f>
        <v>122063.65</v>
      </c>
      <c r="F29" s="17">
        <f>F30+F33+F35</f>
        <v>79618.47</v>
      </c>
      <c r="G29" s="17" t="s">
        <v>81</v>
      </c>
      <c r="H29" s="57">
        <f>H30+H33+H35</f>
        <v>79618.47</v>
      </c>
    </row>
    <row r="30" spans="1:8" ht="22.5" customHeight="1" x14ac:dyDescent="0.2">
      <c r="A30" s="27"/>
      <c r="B30" s="52"/>
      <c r="C30" s="4" t="s">
        <v>82</v>
      </c>
      <c r="D30" s="4" t="s">
        <v>83</v>
      </c>
      <c r="E30" s="5">
        <f>E31+E32</f>
        <v>117326</v>
      </c>
      <c r="F30" s="5">
        <f>F31+F32</f>
        <v>78359.320000000007</v>
      </c>
      <c r="G30" s="5" t="s">
        <v>84</v>
      </c>
      <c r="H30" s="58">
        <f>H31+H32</f>
        <v>78359.320000000007</v>
      </c>
    </row>
    <row r="31" spans="1:8" ht="22.5" customHeight="1" x14ac:dyDescent="0.2">
      <c r="A31" s="27"/>
      <c r="B31" s="52"/>
      <c r="C31" s="6" t="s">
        <v>85</v>
      </c>
      <c r="D31" s="4" t="s">
        <v>86</v>
      </c>
      <c r="E31" s="5">
        <f>73242.79</f>
        <v>73242.789999999994</v>
      </c>
      <c r="F31" s="5">
        <f>52781.3</f>
        <v>52781.3</v>
      </c>
      <c r="G31" s="5" t="s">
        <v>87</v>
      </c>
      <c r="H31" s="58">
        <f>52781.3</f>
        <v>52781.3</v>
      </c>
    </row>
    <row r="32" spans="1:8" ht="22.5" customHeight="1" x14ac:dyDescent="0.2">
      <c r="A32" s="27"/>
      <c r="B32" s="52"/>
      <c r="C32" s="6" t="s">
        <v>88</v>
      </c>
      <c r="D32" s="4" t="s">
        <v>89</v>
      </c>
      <c r="E32" s="5">
        <f>44083.21</f>
        <v>44083.21</v>
      </c>
      <c r="F32" s="5">
        <f>25578.02</f>
        <v>25578.02</v>
      </c>
      <c r="G32" s="5" t="s">
        <v>90</v>
      </c>
      <c r="H32" s="58">
        <f>25578.02</f>
        <v>25578.02</v>
      </c>
    </row>
    <row r="33" spans="1:8" ht="22.5" customHeight="1" x14ac:dyDescent="0.2">
      <c r="A33" s="27"/>
      <c r="B33" s="52"/>
      <c r="C33" s="4" t="s">
        <v>91</v>
      </c>
      <c r="D33" s="4" t="s">
        <v>92</v>
      </c>
      <c r="E33" s="5">
        <f>E34</f>
        <v>756.2</v>
      </c>
      <c r="F33" s="5">
        <f>F34</f>
        <v>518.4</v>
      </c>
      <c r="G33" s="5" t="s">
        <v>93</v>
      </c>
      <c r="H33" s="58">
        <f>H34</f>
        <v>518.4</v>
      </c>
    </row>
    <row r="34" spans="1:8" ht="22.5" customHeight="1" x14ac:dyDescent="0.2">
      <c r="A34" s="27"/>
      <c r="B34" s="52"/>
      <c r="C34" s="6" t="s">
        <v>94</v>
      </c>
      <c r="D34" s="4" t="s">
        <v>95</v>
      </c>
      <c r="E34" s="5">
        <f>756.2</f>
        <v>756.2</v>
      </c>
      <c r="F34" s="5">
        <f>518.4</f>
        <v>518.4</v>
      </c>
      <c r="G34" s="5" t="s">
        <v>93</v>
      </c>
      <c r="H34" s="58">
        <f>518.4</f>
        <v>518.4</v>
      </c>
    </row>
    <row r="35" spans="1:8" ht="22.5" customHeight="1" x14ac:dyDescent="0.2">
      <c r="A35" s="27"/>
      <c r="B35" s="52"/>
      <c r="C35" s="4" t="s">
        <v>96</v>
      </c>
      <c r="D35" s="4" t="s">
        <v>97</v>
      </c>
      <c r="E35" s="5">
        <f>E36</f>
        <v>3981.45</v>
      </c>
      <c r="F35" s="5">
        <f>F36</f>
        <v>740.75</v>
      </c>
      <c r="G35" s="5" t="s">
        <v>98</v>
      </c>
      <c r="H35" s="58">
        <f>H36</f>
        <v>740.75</v>
      </c>
    </row>
    <row r="36" spans="1:8" ht="22.5" customHeight="1" x14ac:dyDescent="0.2">
      <c r="A36" s="27"/>
      <c r="B36" s="52"/>
      <c r="C36" s="6" t="s">
        <v>99</v>
      </c>
      <c r="D36" s="4" t="s">
        <v>58</v>
      </c>
      <c r="E36" s="5">
        <f>3981.45</f>
        <v>3981.45</v>
      </c>
      <c r="F36" s="5">
        <f>740.75</f>
        <v>740.75</v>
      </c>
      <c r="G36" s="5" t="s">
        <v>98</v>
      </c>
      <c r="H36" s="58">
        <f>740.75</f>
        <v>740.75</v>
      </c>
    </row>
    <row r="37" spans="1:8" ht="22.5" customHeight="1" x14ac:dyDescent="0.2">
      <c r="A37" s="27"/>
      <c r="B37" s="52"/>
      <c r="C37" s="16" t="s">
        <v>36</v>
      </c>
      <c r="D37" s="16" t="s">
        <v>100</v>
      </c>
      <c r="E37" s="17">
        <f>E38</f>
        <v>300</v>
      </c>
      <c r="F37" s="17">
        <f>F38</f>
        <v>300</v>
      </c>
      <c r="G37" s="17" t="s">
        <v>75</v>
      </c>
      <c r="H37" s="57">
        <f>H38</f>
        <v>300</v>
      </c>
    </row>
    <row r="38" spans="1:8" ht="22.5" customHeight="1" x14ac:dyDescent="0.2">
      <c r="A38" s="27"/>
      <c r="B38" s="52"/>
      <c r="C38" s="4" t="s">
        <v>53</v>
      </c>
      <c r="D38" s="4" t="s">
        <v>101</v>
      </c>
      <c r="E38" s="5">
        <f>E39</f>
        <v>300</v>
      </c>
      <c r="F38" s="5">
        <f>F39</f>
        <v>300</v>
      </c>
      <c r="G38" s="5" t="s">
        <v>75</v>
      </c>
      <c r="H38" s="58">
        <f>H39</f>
        <v>300</v>
      </c>
    </row>
    <row r="39" spans="1:8" ht="22.5" customHeight="1" x14ac:dyDescent="0.2">
      <c r="A39" s="27"/>
      <c r="B39" s="52"/>
      <c r="C39" s="6" t="s">
        <v>55</v>
      </c>
      <c r="D39" s="4" t="s">
        <v>102</v>
      </c>
      <c r="E39" s="5">
        <f>90+210</f>
        <v>300</v>
      </c>
      <c r="F39" s="5">
        <f>90+210</f>
        <v>300</v>
      </c>
      <c r="G39" s="5" t="s">
        <v>75</v>
      </c>
      <c r="H39" s="58">
        <f>90+210</f>
        <v>300</v>
      </c>
    </row>
    <row r="40" spans="1:8" ht="22.5" customHeight="1" x14ac:dyDescent="0.2">
      <c r="A40" s="27"/>
      <c r="B40" s="52"/>
      <c r="C40" s="16" t="s">
        <v>103</v>
      </c>
      <c r="D40" s="16" t="s">
        <v>104</v>
      </c>
      <c r="E40" s="17">
        <f>E41+E43+E45</f>
        <v>91822.86</v>
      </c>
      <c r="F40" s="17">
        <f>F41+F43+F45</f>
        <v>61836.44</v>
      </c>
      <c r="G40" s="17" t="s">
        <v>105</v>
      </c>
      <c r="H40" s="57">
        <f>H41+H43+H45</f>
        <v>61836.44</v>
      </c>
    </row>
    <row r="41" spans="1:8" ht="22.5" customHeight="1" x14ac:dyDescent="0.2">
      <c r="A41" s="27"/>
      <c r="B41" s="52"/>
      <c r="C41" s="4" t="s">
        <v>53</v>
      </c>
      <c r="D41" s="4" t="s">
        <v>106</v>
      </c>
      <c r="E41" s="5">
        <f>E42</f>
        <v>86228.15</v>
      </c>
      <c r="F41" s="5">
        <f>F42</f>
        <v>61144.46</v>
      </c>
      <c r="G41" s="5" t="s">
        <v>107</v>
      </c>
      <c r="H41" s="58">
        <f>H42</f>
        <v>61144.46</v>
      </c>
    </row>
    <row r="42" spans="1:8" ht="22.5" customHeight="1" x14ac:dyDescent="0.2">
      <c r="A42" s="27"/>
      <c r="B42" s="52"/>
      <c r="C42" s="6" t="s">
        <v>55</v>
      </c>
      <c r="D42" s="4" t="s">
        <v>108</v>
      </c>
      <c r="E42" s="5">
        <f>86228.15</f>
        <v>86228.15</v>
      </c>
      <c r="F42" s="5">
        <f>61144.46</f>
        <v>61144.46</v>
      </c>
      <c r="G42" s="5" t="s">
        <v>107</v>
      </c>
      <c r="H42" s="58">
        <f>61144.46</f>
        <v>61144.46</v>
      </c>
    </row>
    <row r="43" spans="1:8" ht="22.5" customHeight="1" x14ac:dyDescent="0.2">
      <c r="A43" s="27"/>
      <c r="B43" s="52"/>
      <c r="C43" s="4" t="s">
        <v>82</v>
      </c>
      <c r="D43" s="4" t="s">
        <v>109</v>
      </c>
      <c r="E43" s="5">
        <f>E44</f>
        <v>419.16</v>
      </c>
      <c r="F43" s="5">
        <f>F44</f>
        <v>306.43</v>
      </c>
      <c r="G43" s="5" t="s">
        <v>110</v>
      </c>
      <c r="H43" s="58">
        <f>H44</f>
        <v>306.43</v>
      </c>
    </row>
    <row r="44" spans="1:8" ht="22.5" customHeight="1" x14ac:dyDescent="0.2">
      <c r="A44" s="27"/>
      <c r="B44" s="52"/>
      <c r="C44" s="6" t="s">
        <v>85</v>
      </c>
      <c r="D44" s="4" t="s">
        <v>111</v>
      </c>
      <c r="E44" s="5">
        <f>419.16</f>
        <v>419.16</v>
      </c>
      <c r="F44" s="5">
        <f>306.43</f>
        <v>306.43</v>
      </c>
      <c r="G44" s="5" t="s">
        <v>110</v>
      </c>
      <c r="H44" s="58">
        <f>306.43</f>
        <v>306.43</v>
      </c>
    </row>
    <row r="45" spans="1:8" ht="22.5" customHeight="1" x14ac:dyDescent="0.2">
      <c r="A45" s="27"/>
      <c r="B45" s="52"/>
      <c r="C45" s="4" t="s">
        <v>112</v>
      </c>
      <c r="D45" s="4" t="s">
        <v>113</v>
      </c>
      <c r="E45" s="5">
        <f>E46+E47</f>
        <v>5175.55</v>
      </c>
      <c r="F45" s="5">
        <f>F46+F47</f>
        <v>385.55</v>
      </c>
      <c r="G45" s="5" t="s">
        <v>26</v>
      </c>
      <c r="H45" s="58">
        <f>H46+H47</f>
        <v>385.55</v>
      </c>
    </row>
    <row r="46" spans="1:8" ht="22.5" customHeight="1" x14ac:dyDescent="0.2">
      <c r="A46" s="27"/>
      <c r="B46" s="52"/>
      <c r="C46" s="6" t="s">
        <v>114</v>
      </c>
      <c r="D46" s="4" t="s">
        <v>115</v>
      </c>
      <c r="E46" s="5">
        <f>1195.55+995+2985</f>
        <v>5175.55</v>
      </c>
      <c r="F46" s="5">
        <f>89.06+74.12+222.37</f>
        <v>385.55</v>
      </c>
      <c r="G46" s="5" t="s">
        <v>26</v>
      </c>
      <c r="H46" s="58">
        <f>89.06+74.12+222.37</f>
        <v>385.55</v>
      </c>
    </row>
    <row r="47" spans="1:8" ht="22.5" customHeight="1" x14ac:dyDescent="0.2">
      <c r="A47" s="27"/>
      <c r="B47" s="52"/>
      <c r="C47" s="6" t="s">
        <v>116</v>
      </c>
      <c r="D47" s="4" t="s">
        <v>117</v>
      </c>
      <c r="E47" s="5">
        <f>0</f>
        <v>0</v>
      </c>
      <c r="F47" s="5">
        <f>0</f>
        <v>0</v>
      </c>
      <c r="G47" s="5" t="s">
        <v>42</v>
      </c>
      <c r="H47" s="58">
        <f>0</f>
        <v>0</v>
      </c>
    </row>
    <row r="48" spans="1:8" ht="22.5" customHeight="1" x14ac:dyDescent="0.2">
      <c r="A48" s="27"/>
      <c r="B48" s="52"/>
      <c r="C48" s="16" t="s">
        <v>118</v>
      </c>
      <c r="D48" s="16" t="s">
        <v>119</v>
      </c>
      <c r="E48" s="17">
        <f>E49</f>
        <v>7918.7</v>
      </c>
      <c r="F48" s="17">
        <f>F49</f>
        <v>5496.06</v>
      </c>
      <c r="G48" s="17" t="s">
        <v>120</v>
      </c>
      <c r="H48" s="57">
        <f>H49</f>
        <v>5496.06</v>
      </c>
    </row>
    <row r="49" spans="1:8" ht="22.5" customHeight="1" x14ac:dyDescent="0.2">
      <c r="A49" s="27"/>
      <c r="B49" s="52"/>
      <c r="C49" s="4" t="s">
        <v>53</v>
      </c>
      <c r="D49" s="4" t="s">
        <v>121</v>
      </c>
      <c r="E49" s="5">
        <f>E50</f>
        <v>7918.7</v>
      </c>
      <c r="F49" s="5">
        <f>F50</f>
        <v>5496.06</v>
      </c>
      <c r="G49" s="5" t="s">
        <v>120</v>
      </c>
      <c r="H49" s="58">
        <f>H50</f>
        <v>5496.06</v>
      </c>
    </row>
    <row r="50" spans="1:8" ht="22.5" customHeight="1" x14ac:dyDescent="0.2">
      <c r="A50" s="27"/>
      <c r="B50" s="52"/>
      <c r="C50" s="6" t="s">
        <v>55</v>
      </c>
      <c r="D50" s="4" t="s">
        <v>122</v>
      </c>
      <c r="E50" s="5">
        <f>7918.7</f>
        <v>7918.7</v>
      </c>
      <c r="F50" s="5">
        <f>5496.06</f>
        <v>5496.06</v>
      </c>
      <c r="G50" s="5" t="s">
        <v>120</v>
      </c>
      <c r="H50" s="58">
        <f>5496.06</f>
        <v>5496.06</v>
      </c>
    </row>
    <row r="51" spans="1:8" ht="22.5" customHeight="1" thickBot="1" x14ac:dyDescent="0.25">
      <c r="A51" s="66" t="s">
        <v>6</v>
      </c>
      <c r="B51" s="67"/>
      <c r="C51" s="67"/>
      <c r="D51" s="68"/>
      <c r="E51" s="69">
        <f>E15+E21+E29+E37+E40+E48</f>
        <v>268948.8</v>
      </c>
      <c r="F51" s="63">
        <f>F15+F21+F29+F37+F40+F48</f>
        <v>179688.84</v>
      </c>
      <c r="G51" s="64" t="s">
        <v>84</v>
      </c>
      <c r="H51" s="70">
        <f>H15+H21+H29+H37+H40+H48</f>
        <v>179688.84</v>
      </c>
    </row>
    <row r="52" spans="1:8" ht="22.5" customHeight="1" x14ac:dyDescent="0.2">
      <c r="A52" s="53">
        <v>3</v>
      </c>
      <c r="B52" s="54" t="s">
        <v>8</v>
      </c>
      <c r="C52" s="16" t="s">
        <v>30</v>
      </c>
      <c r="D52" s="16" t="s">
        <v>124</v>
      </c>
      <c r="E52" s="17">
        <f>E53+E67+E71+E73+E74+E75+E76+E78</f>
        <v>2252826.3154700003</v>
      </c>
      <c r="F52" s="17">
        <f>F53+F67+F71+F73+F74+F75+F76+F78</f>
        <v>1412839.2110000001</v>
      </c>
      <c r="G52" s="17" t="s">
        <v>709</v>
      </c>
      <c r="H52" s="57">
        <f>H53+H67+H71+H73+H74+H75+H76+H78</f>
        <v>1412839.2110000001</v>
      </c>
    </row>
    <row r="53" spans="1:8" ht="22.5" customHeight="1" x14ac:dyDescent="0.2">
      <c r="A53" s="28"/>
      <c r="B53" s="55"/>
      <c r="C53" s="4" t="s">
        <v>53</v>
      </c>
      <c r="D53" s="4" t="s">
        <v>126</v>
      </c>
      <c r="E53" s="5">
        <f>E54+E55+E56+E57+E58+E59+E60+E61+E62+E63+E64+E65+E66</f>
        <v>2100002.0038900003</v>
      </c>
      <c r="F53" s="5">
        <f>F54+F55+F56+F57+F58+F59+F60+F61+F62+F63+F64+F65+F66</f>
        <v>1328054.953</v>
      </c>
      <c r="G53" s="5" t="s">
        <v>127</v>
      </c>
      <c r="H53" s="58">
        <f>H54+H55+H56+H57+H58+H59+H60+H61+H62+H63+H64+H65+H66</f>
        <v>1328054.953</v>
      </c>
    </row>
    <row r="54" spans="1:8" ht="22.5" customHeight="1" x14ac:dyDescent="0.2">
      <c r="A54" s="28"/>
      <c r="B54" s="55"/>
      <c r="C54" s="6" t="s">
        <v>55</v>
      </c>
      <c r="D54" s="4" t="s">
        <v>128</v>
      </c>
      <c r="E54" s="5">
        <f>0</f>
        <v>0</v>
      </c>
      <c r="F54" s="5">
        <f>0</f>
        <v>0</v>
      </c>
      <c r="G54" s="5" t="s">
        <v>42</v>
      </c>
      <c r="H54" s="58">
        <f>0</f>
        <v>0</v>
      </c>
    </row>
    <row r="55" spans="1:8" ht="22.5" customHeight="1" x14ac:dyDescent="0.2">
      <c r="A55" s="28"/>
      <c r="B55" s="55"/>
      <c r="C55" s="6" t="s">
        <v>129</v>
      </c>
      <c r="D55" s="4" t="s">
        <v>130</v>
      </c>
      <c r="E55" s="5">
        <f>32373+1587467</f>
        <v>1619840</v>
      </c>
      <c r="F55" s="5">
        <f>23614.263+1003945.15</f>
        <v>1027559.4130000001</v>
      </c>
      <c r="G55" s="5" t="s">
        <v>131</v>
      </c>
      <c r="H55" s="58">
        <f>23614.263+1003945.15</f>
        <v>1027559.4130000001</v>
      </c>
    </row>
    <row r="56" spans="1:8" ht="22.5" customHeight="1" x14ac:dyDescent="0.2">
      <c r="A56" s="28"/>
      <c r="B56" s="55"/>
      <c r="C56" s="6" t="s">
        <v>132</v>
      </c>
      <c r="D56" s="4" t="s">
        <v>133</v>
      </c>
      <c r="E56" s="5">
        <f>38730</f>
        <v>38730</v>
      </c>
      <c r="F56" s="5">
        <f>29277.686</f>
        <v>29277.686000000002</v>
      </c>
      <c r="G56" s="5" t="s">
        <v>134</v>
      </c>
      <c r="H56" s="58">
        <f>29277.686</f>
        <v>29277.686000000002</v>
      </c>
    </row>
    <row r="57" spans="1:8" ht="22.5" customHeight="1" x14ac:dyDescent="0.2">
      <c r="A57" s="28"/>
      <c r="B57" s="55"/>
      <c r="C57" s="6" t="s">
        <v>135</v>
      </c>
      <c r="D57" s="4" t="s">
        <v>136</v>
      </c>
      <c r="E57" s="5">
        <f>35580</f>
        <v>35580</v>
      </c>
      <c r="F57" s="5">
        <f>21750.337</f>
        <v>21750.337</v>
      </c>
      <c r="G57" s="5" t="s">
        <v>137</v>
      </c>
      <c r="H57" s="58">
        <f>21750.337</f>
        <v>21750.337</v>
      </c>
    </row>
    <row r="58" spans="1:8" ht="22.5" customHeight="1" x14ac:dyDescent="0.2">
      <c r="A58" s="28"/>
      <c r="B58" s="55"/>
      <c r="C58" s="6" t="s">
        <v>138</v>
      </c>
      <c r="D58" s="4" t="s">
        <v>139</v>
      </c>
      <c r="E58" s="5">
        <f>158054.8757</f>
        <v>158054.8757</v>
      </c>
      <c r="F58" s="5">
        <f>97445.57</f>
        <v>97445.57</v>
      </c>
      <c r="G58" s="5" t="s">
        <v>140</v>
      </c>
      <c r="H58" s="58">
        <f>97445.57</f>
        <v>97445.57</v>
      </c>
    </row>
    <row r="59" spans="1:8" ht="22.5" customHeight="1" x14ac:dyDescent="0.2">
      <c r="A59" s="28"/>
      <c r="B59" s="55"/>
      <c r="C59" s="6" t="s">
        <v>141</v>
      </c>
      <c r="D59" s="4" t="s">
        <v>142</v>
      </c>
      <c r="E59" s="5">
        <f>22951.17</f>
        <v>22951.17</v>
      </c>
      <c r="F59" s="5">
        <f>15562.4</f>
        <v>15562.4</v>
      </c>
      <c r="G59" s="5" t="s">
        <v>143</v>
      </c>
      <c r="H59" s="58">
        <f>15562.4</f>
        <v>15562.4</v>
      </c>
    </row>
    <row r="60" spans="1:8" ht="22.5" customHeight="1" x14ac:dyDescent="0.2">
      <c r="A60" s="28"/>
      <c r="B60" s="55"/>
      <c r="C60" s="6" t="s">
        <v>144</v>
      </c>
      <c r="D60" s="4" t="s">
        <v>145</v>
      </c>
      <c r="E60" s="5">
        <f>38101.144</f>
        <v>38101.144</v>
      </c>
      <c r="F60" s="5">
        <f>24338.64</f>
        <v>24338.639999999999</v>
      </c>
      <c r="G60" s="5" t="s">
        <v>146</v>
      </c>
      <c r="H60" s="58">
        <f>24338.64</f>
        <v>24338.639999999999</v>
      </c>
    </row>
    <row r="61" spans="1:8" ht="22.5" customHeight="1" x14ac:dyDescent="0.2">
      <c r="A61" s="28"/>
      <c r="B61" s="55"/>
      <c r="C61" s="6" t="s">
        <v>147</v>
      </c>
      <c r="D61" s="4" t="s">
        <v>148</v>
      </c>
      <c r="E61" s="5">
        <f>300</f>
        <v>300</v>
      </c>
      <c r="F61" s="5">
        <f>0</f>
        <v>0</v>
      </c>
      <c r="G61" s="5" t="s">
        <v>9</v>
      </c>
      <c r="H61" s="58">
        <f>0</f>
        <v>0</v>
      </c>
    </row>
    <row r="62" spans="1:8" ht="22.5" customHeight="1" x14ac:dyDescent="0.2">
      <c r="A62" s="28"/>
      <c r="B62" s="55"/>
      <c r="C62" s="6" t="s">
        <v>149</v>
      </c>
      <c r="D62" s="4" t="s">
        <v>150</v>
      </c>
      <c r="E62" s="5">
        <f>29205.192</f>
        <v>29205.191999999999</v>
      </c>
      <c r="F62" s="5">
        <f>16266.946</f>
        <v>16266.946</v>
      </c>
      <c r="G62" s="5" t="s">
        <v>151</v>
      </c>
      <c r="H62" s="58">
        <f>16266.946</f>
        <v>16266.946</v>
      </c>
    </row>
    <row r="63" spans="1:8" ht="22.5" customHeight="1" x14ac:dyDescent="0.2">
      <c r="A63" s="28"/>
      <c r="B63" s="55"/>
      <c r="C63" s="6" t="s">
        <v>152</v>
      </c>
      <c r="D63" s="4" t="s">
        <v>153</v>
      </c>
      <c r="E63" s="5">
        <f>0</f>
        <v>0</v>
      </c>
      <c r="F63" s="5">
        <f>0</f>
        <v>0</v>
      </c>
      <c r="G63" s="5" t="s">
        <v>42</v>
      </c>
      <c r="H63" s="58">
        <f>0</f>
        <v>0</v>
      </c>
    </row>
    <row r="64" spans="1:8" ht="22.5" customHeight="1" x14ac:dyDescent="0.2">
      <c r="A64" s="28"/>
      <c r="B64" s="55"/>
      <c r="C64" s="6" t="s">
        <v>154</v>
      </c>
      <c r="D64" s="4" t="s">
        <v>155</v>
      </c>
      <c r="E64" s="5">
        <f>126806.31419</f>
        <v>126806.31419</v>
      </c>
      <c r="F64" s="5">
        <f>75790.951</f>
        <v>75790.951000000001</v>
      </c>
      <c r="G64" s="5" t="s">
        <v>156</v>
      </c>
      <c r="H64" s="58">
        <f>75790.951</f>
        <v>75790.951000000001</v>
      </c>
    </row>
    <row r="65" spans="1:8" ht="22.5" customHeight="1" x14ac:dyDescent="0.2">
      <c r="A65" s="28"/>
      <c r="B65" s="55"/>
      <c r="C65" s="6" t="s">
        <v>157</v>
      </c>
      <c r="D65" s="4" t="s">
        <v>158</v>
      </c>
      <c r="E65" s="5">
        <f>5997.468</f>
        <v>5997.4679999999998</v>
      </c>
      <c r="F65" s="5">
        <f>3829.41</f>
        <v>3829.41</v>
      </c>
      <c r="G65" s="5" t="s">
        <v>159</v>
      </c>
      <c r="H65" s="58">
        <f>3829.41</f>
        <v>3829.41</v>
      </c>
    </row>
    <row r="66" spans="1:8" ht="22.5" customHeight="1" x14ac:dyDescent="0.2">
      <c r="A66" s="28"/>
      <c r="B66" s="55"/>
      <c r="C66" s="6" t="s">
        <v>160</v>
      </c>
      <c r="D66" s="4" t="s">
        <v>161</v>
      </c>
      <c r="E66" s="5">
        <f>24435.84</f>
        <v>24435.84</v>
      </c>
      <c r="F66" s="5">
        <f>16233.6</f>
        <v>16233.6</v>
      </c>
      <c r="G66" s="5" t="s">
        <v>162</v>
      </c>
      <c r="H66" s="58">
        <f>16233.6</f>
        <v>16233.6</v>
      </c>
    </row>
    <row r="67" spans="1:8" ht="22.5" customHeight="1" x14ac:dyDescent="0.2">
      <c r="A67" s="28"/>
      <c r="B67" s="55"/>
      <c r="C67" s="4" t="s">
        <v>32</v>
      </c>
      <c r="D67" s="4" t="s">
        <v>163</v>
      </c>
      <c r="E67" s="5">
        <f>E68+E69+E70</f>
        <v>102344.47158</v>
      </c>
      <c r="F67" s="5">
        <f>F68+F69+F70</f>
        <v>50474.447999999997</v>
      </c>
      <c r="G67" s="5" t="s">
        <v>164</v>
      </c>
      <c r="H67" s="58">
        <f>H68+H69+H70</f>
        <v>50474.447999999997</v>
      </c>
    </row>
    <row r="68" spans="1:8" ht="22.5" customHeight="1" x14ac:dyDescent="0.2">
      <c r="A68" s="28"/>
      <c r="B68" s="55"/>
      <c r="C68" s="6" t="s">
        <v>165</v>
      </c>
      <c r="D68" s="4" t="s">
        <v>166</v>
      </c>
      <c r="E68" s="5">
        <f>6557.15+36720.022+22294.29958</f>
        <v>65571.471579999998</v>
      </c>
      <c r="F68" s="5">
        <f>3162.43+17709.63+10752.27</f>
        <v>31624.33</v>
      </c>
      <c r="G68" s="5" t="s">
        <v>167</v>
      </c>
      <c r="H68" s="58">
        <f>3162.43+17709.63+10752.27</f>
        <v>31624.33</v>
      </c>
    </row>
    <row r="69" spans="1:8" ht="22.5" customHeight="1" x14ac:dyDescent="0.2">
      <c r="A69" s="28"/>
      <c r="B69" s="55"/>
      <c r="C69" s="6" t="s">
        <v>168</v>
      </c>
      <c r="D69" s="4" t="s">
        <v>169</v>
      </c>
      <c r="E69" s="5">
        <f>8336+27747</f>
        <v>36083</v>
      </c>
      <c r="F69" s="5">
        <f>4218.07+14040.3</f>
        <v>18258.37</v>
      </c>
      <c r="G69" s="5" t="s">
        <v>170</v>
      </c>
      <c r="H69" s="58">
        <f>4218.07+14040.3</f>
        <v>18258.37</v>
      </c>
    </row>
    <row r="70" spans="1:8" ht="22.5" customHeight="1" x14ac:dyDescent="0.2">
      <c r="A70" s="28"/>
      <c r="B70" s="55"/>
      <c r="C70" s="6" t="s">
        <v>171</v>
      </c>
      <c r="D70" s="4" t="s">
        <v>172</v>
      </c>
      <c r="E70" s="5">
        <f>690</f>
        <v>690</v>
      </c>
      <c r="F70" s="5">
        <f>591.748</f>
        <v>591.74800000000005</v>
      </c>
      <c r="G70" s="5" t="s">
        <v>173</v>
      </c>
      <c r="H70" s="58">
        <f>591.748</f>
        <v>591.74800000000005</v>
      </c>
    </row>
    <row r="71" spans="1:8" ht="22.5" customHeight="1" x14ac:dyDescent="0.2">
      <c r="A71" s="28"/>
      <c r="B71" s="55"/>
      <c r="C71" s="4" t="s">
        <v>59</v>
      </c>
      <c r="D71" s="4" t="s">
        <v>174</v>
      </c>
      <c r="E71" s="5">
        <f>E72</f>
        <v>12947.44</v>
      </c>
      <c r="F71" s="5">
        <f>F72</f>
        <v>6787.76</v>
      </c>
      <c r="G71" s="5" t="s">
        <v>175</v>
      </c>
      <c r="H71" s="58">
        <f>H72</f>
        <v>6787.76</v>
      </c>
    </row>
    <row r="72" spans="1:8" ht="22.5" customHeight="1" x14ac:dyDescent="0.2">
      <c r="A72" s="28"/>
      <c r="B72" s="55"/>
      <c r="C72" s="6" t="s">
        <v>176</v>
      </c>
      <c r="D72" s="4" t="s">
        <v>177</v>
      </c>
      <c r="E72" s="5">
        <f>12947.44</f>
        <v>12947.44</v>
      </c>
      <c r="F72" s="5">
        <f>6787.76</f>
        <v>6787.76</v>
      </c>
      <c r="G72" s="5" t="s">
        <v>175</v>
      </c>
      <c r="H72" s="58">
        <f>6787.76</f>
        <v>6787.76</v>
      </c>
    </row>
    <row r="73" spans="1:8" ht="22.5" customHeight="1" x14ac:dyDescent="0.2">
      <c r="A73" s="28"/>
      <c r="B73" s="55"/>
      <c r="C73" s="4" t="s">
        <v>82</v>
      </c>
      <c r="D73" s="4" t="s">
        <v>178</v>
      </c>
      <c r="E73" s="5">
        <f>0</f>
        <v>0</v>
      </c>
      <c r="F73" s="5">
        <f>0</f>
        <v>0</v>
      </c>
      <c r="G73" s="5" t="s">
        <v>42</v>
      </c>
      <c r="H73" s="58">
        <f>0</f>
        <v>0</v>
      </c>
    </row>
    <row r="74" spans="1:8" ht="22.5" customHeight="1" x14ac:dyDescent="0.2">
      <c r="A74" s="28"/>
      <c r="B74" s="55"/>
      <c r="C74" s="4" t="s">
        <v>96</v>
      </c>
      <c r="D74" s="4" t="s">
        <v>179</v>
      </c>
      <c r="E74" s="5">
        <f>0</f>
        <v>0</v>
      </c>
      <c r="F74" s="5">
        <f>0</f>
        <v>0</v>
      </c>
      <c r="G74" s="5" t="s">
        <v>42</v>
      </c>
      <c r="H74" s="58">
        <f>0</f>
        <v>0</v>
      </c>
    </row>
    <row r="75" spans="1:8" ht="22.5" customHeight="1" x14ac:dyDescent="0.2">
      <c r="A75" s="28"/>
      <c r="B75" s="55"/>
      <c r="C75" s="4" t="s">
        <v>180</v>
      </c>
      <c r="D75" s="4" t="s">
        <v>181</v>
      </c>
      <c r="E75" s="5">
        <f>0</f>
        <v>0</v>
      </c>
      <c r="F75" s="5">
        <f>0</f>
        <v>0</v>
      </c>
      <c r="G75" s="5" t="s">
        <v>42</v>
      </c>
      <c r="H75" s="58">
        <f>0</f>
        <v>0</v>
      </c>
    </row>
    <row r="76" spans="1:8" ht="22.5" customHeight="1" x14ac:dyDescent="0.2">
      <c r="A76" s="28"/>
      <c r="B76" s="55"/>
      <c r="C76" s="4" t="s">
        <v>182</v>
      </c>
      <c r="D76" s="4" t="s">
        <v>183</v>
      </c>
      <c r="E76" s="5">
        <f>E77</f>
        <v>4248.3999999999996</v>
      </c>
      <c r="F76" s="5">
        <f>F77</f>
        <v>3186.2999999999997</v>
      </c>
      <c r="G76" s="5" t="s">
        <v>184</v>
      </c>
      <c r="H76" s="58">
        <f>H77</f>
        <v>3186.2999999999997</v>
      </c>
    </row>
    <row r="77" spans="1:8" ht="22.5" customHeight="1" x14ac:dyDescent="0.2">
      <c r="A77" s="28"/>
      <c r="B77" s="55"/>
      <c r="C77" s="6" t="s">
        <v>185</v>
      </c>
      <c r="D77" s="4" t="s">
        <v>186</v>
      </c>
      <c r="E77" s="5">
        <f>3186.3+1062.1</f>
        <v>4248.3999999999996</v>
      </c>
      <c r="F77" s="5">
        <f>2389.72+796.58</f>
        <v>3186.2999999999997</v>
      </c>
      <c r="G77" s="5" t="s">
        <v>184</v>
      </c>
      <c r="H77" s="58">
        <f>2389.72+796.58</f>
        <v>3186.2999999999997</v>
      </c>
    </row>
    <row r="78" spans="1:8" ht="22.5" customHeight="1" x14ac:dyDescent="0.2">
      <c r="A78" s="28"/>
      <c r="B78" s="55"/>
      <c r="C78" s="4" t="s">
        <v>187</v>
      </c>
      <c r="D78" s="4" t="s">
        <v>188</v>
      </c>
      <c r="E78" s="5">
        <f>E79+E80</f>
        <v>33284</v>
      </c>
      <c r="F78" s="5">
        <f>F79+F80</f>
        <v>24335.75</v>
      </c>
      <c r="G78" s="5" t="s">
        <v>110</v>
      </c>
      <c r="H78" s="58">
        <f>H79+H80</f>
        <v>24335.75</v>
      </c>
    </row>
    <row r="79" spans="1:8" ht="22.5" customHeight="1" x14ac:dyDescent="0.2">
      <c r="A79" s="28"/>
      <c r="B79" s="55"/>
      <c r="C79" s="6" t="s">
        <v>189</v>
      </c>
      <c r="D79" s="4" t="s">
        <v>190</v>
      </c>
      <c r="E79" s="5">
        <f>7688+25596</f>
        <v>33284</v>
      </c>
      <c r="F79" s="5">
        <f>5621.12+18714.63</f>
        <v>24335.75</v>
      </c>
      <c r="G79" s="5" t="s">
        <v>110</v>
      </c>
      <c r="H79" s="58">
        <f>5621.12+18714.63</f>
        <v>24335.75</v>
      </c>
    </row>
    <row r="80" spans="1:8" ht="22.5" customHeight="1" x14ac:dyDescent="0.2">
      <c r="A80" s="28"/>
      <c r="B80" s="55"/>
      <c r="C80" s="6" t="s">
        <v>191</v>
      </c>
      <c r="D80" s="4" t="s">
        <v>192</v>
      </c>
      <c r="E80" s="5">
        <f>0</f>
        <v>0</v>
      </c>
      <c r="F80" s="5">
        <f>0</f>
        <v>0</v>
      </c>
      <c r="G80" s="5" t="s">
        <v>42</v>
      </c>
      <c r="H80" s="58">
        <f>0</f>
        <v>0</v>
      </c>
    </row>
    <row r="81" spans="1:8" ht="22.5" customHeight="1" x14ac:dyDescent="0.2">
      <c r="A81" s="28"/>
      <c r="B81" s="55"/>
      <c r="C81" s="16" t="s">
        <v>50</v>
      </c>
      <c r="D81" s="16" t="s">
        <v>193</v>
      </c>
      <c r="E81" s="17">
        <f>E82+E87+E89+E91+E92</f>
        <v>105579.86473999999</v>
      </c>
      <c r="F81" s="17">
        <f>F82+F87+F89+F91+F92</f>
        <v>48713.409999999996</v>
      </c>
      <c r="G81" s="17" t="s">
        <v>708</v>
      </c>
      <c r="H81" s="57">
        <f>H82+H87+H89+H91+H92</f>
        <v>48713.409999999996</v>
      </c>
    </row>
    <row r="82" spans="1:8" ht="22.5" customHeight="1" x14ac:dyDescent="0.2">
      <c r="A82" s="28"/>
      <c r="B82" s="55"/>
      <c r="C82" s="6" t="s">
        <v>32</v>
      </c>
      <c r="D82" s="6" t="s">
        <v>194</v>
      </c>
      <c r="E82" s="5">
        <f>E83+E84+E85+E86</f>
        <v>103083.61</v>
      </c>
      <c r="F82" s="5">
        <f>F83+F84+F85+F86</f>
        <v>47942.13</v>
      </c>
      <c r="G82" s="5" t="s">
        <v>710</v>
      </c>
      <c r="H82" s="58">
        <f>H83+H84+H85+H86</f>
        <v>47942.13</v>
      </c>
    </row>
    <row r="83" spans="1:8" ht="22.5" customHeight="1" x14ac:dyDescent="0.2">
      <c r="A83" s="28"/>
      <c r="B83" s="55"/>
      <c r="C83" s="6" t="s">
        <v>34</v>
      </c>
      <c r="D83" s="6" t="s">
        <v>195</v>
      </c>
      <c r="E83" s="5">
        <f>96616.49</f>
        <v>96616.49</v>
      </c>
      <c r="F83" s="5">
        <f>43666.85</f>
        <v>43666.85</v>
      </c>
      <c r="G83" s="5" t="s">
        <v>711</v>
      </c>
      <c r="H83" s="58">
        <f>43666.85</f>
        <v>43666.85</v>
      </c>
    </row>
    <row r="84" spans="1:8" ht="22.5" customHeight="1" x14ac:dyDescent="0.2">
      <c r="A84" s="28"/>
      <c r="B84" s="55"/>
      <c r="C84" s="6" t="s">
        <v>35</v>
      </c>
      <c r="D84" s="6" t="s">
        <v>196</v>
      </c>
      <c r="E84" s="5">
        <f>230</f>
        <v>230</v>
      </c>
      <c r="F84" s="5">
        <f>122.9</f>
        <v>122.9</v>
      </c>
      <c r="G84" s="5" t="s">
        <v>197</v>
      </c>
      <c r="H84" s="58">
        <f>122.9</f>
        <v>122.9</v>
      </c>
    </row>
    <row r="85" spans="1:8" ht="22.5" customHeight="1" x14ac:dyDescent="0.2">
      <c r="A85" s="28"/>
      <c r="B85" s="55"/>
      <c r="C85" s="6" t="s">
        <v>43</v>
      </c>
      <c r="D85" s="6" t="s">
        <v>198</v>
      </c>
      <c r="E85" s="5">
        <f>6237.12</f>
        <v>6237.12</v>
      </c>
      <c r="F85" s="5">
        <f>4152.38</f>
        <v>4152.38</v>
      </c>
      <c r="G85" s="5" t="s">
        <v>199</v>
      </c>
      <c r="H85" s="58">
        <f>4152.38</f>
        <v>4152.38</v>
      </c>
    </row>
    <row r="86" spans="1:8" ht="22.5" customHeight="1" x14ac:dyDescent="0.2">
      <c r="A86" s="28"/>
      <c r="B86" s="55"/>
      <c r="C86" s="6" t="s">
        <v>45</v>
      </c>
      <c r="D86" s="6" t="s">
        <v>200</v>
      </c>
      <c r="E86" s="5">
        <f>0</f>
        <v>0</v>
      </c>
      <c r="F86" s="5">
        <f>0</f>
        <v>0</v>
      </c>
      <c r="G86" s="5" t="s">
        <v>42</v>
      </c>
      <c r="H86" s="58">
        <f>0</f>
        <v>0</v>
      </c>
    </row>
    <row r="87" spans="1:8" ht="22.5" customHeight="1" x14ac:dyDescent="0.2">
      <c r="A87" s="28"/>
      <c r="B87" s="55"/>
      <c r="C87" s="6" t="s">
        <v>82</v>
      </c>
      <c r="D87" s="6" t="s">
        <v>201</v>
      </c>
      <c r="E87" s="5">
        <f>E88</f>
        <v>1200</v>
      </c>
      <c r="F87" s="5">
        <f>F88</f>
        <v>0</v>
      </c>
      <c r="G87" s="5" t="s">
        <v>9</v>
      </c>
      <c r="H87" s="58">
        <f>H88</f>
        <v>0</v>
      </c>
    </row>
    <row r="88" spans="1:8" ht="22.5" customHeight="1" x14ac:dyDescent="0.2">
      <c r="A88" s="28"/>
      <c r="B88" s="55"/>
      <c r="C88" s="6" t="s">
        <v>85</v>
      </c>
      <c r="D88" s="6" t="s">
        <v>202</v>
      </c>
      <c r="E88" s="5">
        <f>1200</f>
        <v>1200</v>
      </c>
      <c r="F88" s="5">
        <f>0</f>
        <v>0</v>
      </c>
      <c r="G88" s="5" t="s">
        <v>9</v>
      </c>
      <c r="H88" s="58">
        <f>0</f>
        <v>0</v>
      </c>
    </row>
    <row r="89" spans="1:8" ht="22.5" customHeight="1" x14ac:dyDescent="0.2">
      <c r="A89" s="28"/>
      <c r="B89" s="55"/>
      <c r="C89" s="6" t="s">
        <v>91</v>
      </c>
      <c r="D89" s="6" t="s">
        <v>174</v>
      </c>
      <c r="E89" s="5">
        <f>E90</f>
        <v>854.4</v>
      </c>
      <c r="F89" s="5">
        <f>F90</f>
        <v>329.59</v>
      </c>
      <c r="G89" s="5" t="s">
        <v>707</v>
      </c>
      <c r="H89" s="58">
        <f>H90</f>
        <v>329.59</v>
      </c>
    </row>
    <row r="90" spans="1:8" ht="22.5" customHeight="1" x14ac:dyDescent="0.2">
      <c r="A90" s="28"/>
      <c r="B90" s="55"/>
      <c r="C90" s="6" t="s">
        <v>203</v>
      </c>
      <c r="D90" s="6" t="s">
        <v>204</v>
      </c>
      <c r="E90" s="5">
        <f>854.4</f>
        <v>854.4</v>
      </c>
      <c r="F90" s="5">
        <f>329.59</f>
        <v>329.59</v>
      </c>
      <c r="G90" s="5" t="s">
        <v>707</v>
      </c>
      <c r="H90" s="58">
        <f>329.59</f>
        <v>329.59</v>
      </c>
    </row>
    <row r="91" spans="1:8" ht="22.5" customHeight="1" x14ac:dyDescent="0.2">
      <c r="A91" s="28"/>
      <c r="B91" s="55"/>
      <c r="C91" s="6" t="s">
        <v>205</v>
      </c>
      <c r="D91" s="6" t="s">
        <v>206</v>
      </c>
      <c r="E91" s="5">
        <f>0</f>
        <v>0</v>
      </c>
      <c r="F91" s="5">
        <f>0</f>
        <v>0</v>
      </c>
      <c r="G91" s="5" t="s">
        <v>42</v>
      </c>
      <c r="H91" s="58">
        <f>0</f>
        <v>0</v>
      </c>
    </row>
    <row r="92" spans="1:8" ht="22.5" customHeight="1" x14ac:dyDescent="0.2">
      <c r="A92" s="28"/>
      <c r="B92" s="55"/>
      <c r="C92" s="6" t="s">
        <v>182</v>
      </c>
      <c r="D92" s="6" t="s">
        <v>183</v>
      </c>
      <c r="E92" s="5">
        <f>E93</f>
        <v>441.85473999999999</v>
      </c>
      <c r="F92" s="5">
        <f>F93</f>
        <v>441.68999999999994</v>
      </c>
      <c r="G92" s="5" t="s">
        <v>207</v>
      </c>
      <c r="H92" s="58">
        <f>H93</f>
        <v>441.68999999999994</v>
      </c>
    </row>
    <row r="93" spans="1:8" ht="22.5" customHeight="1" x14ac:dyDescent="0.2">
      <c r="A93" s="28"/>
      <c r="B93" s="55"/>
      <c r="C93" s="6" t="s">
        <v>185</v>
      </c>
      <c r="D93" s="6" t="s">
        <v>208</v>
      </c>
      <c r="E93" s="5">
        <f>5.455+327.299+109.10074</f>
        <v>441.85473999999999</v>
      </c>
      <c r="F93" s="5">
        <f>5.453+327.178+109.059</f>
        <v>441.68999999999994</v>
      </c>
      <c r="G93" s="5" t="s">
        <v>207</v>
      </c>
      <c r="H93" s="58">
        <f>5.453+327.178+109.059</f>
        <v>441.68999999999994</v>
      </c>
    </row>
    <row r="94" spans="1:8" ht="22.5" customHeight="1" x14ac:dyDescent="0.2">
      <c r="A94" s="28"/>
      <c r="B94" s="55"/>
      <c r="C94" s="16" t="s">
        <v>79</v>
      </c>
      <c r="D94" s="16" t="s">
        <v>119</v>
      </c>
      <c r="E94" s="17">
        <f>E95</f>
        <v>31933.99</v>
      </c>
      <c r="F94" s="17">
        <f>F95</f>
        <v>21916.84</v>
      </c>
      <c r="G94" s="17" t="s">
        <v>209</v>
      </c>
      <c r="H94" s="57">
        <f>H95</f>
        <v>21916.84</v>
      </c>
    </row>
    <row r="95" spans="1:8" ht="22.5" customHeight="1" x14ac:dyDescent="0.2">
      <c r="A95" s="29"/>
      <c r="B95" s="56"/>
      <c r="C95" s="6" t="s">
        <v>53</v>
      </c>
      <c r="D95" s="6" t="s">
        <v>121</v>
      </c>
      <c r="E95" s="5">
        <f>E96+E97</f>
        <v>31933.99</v>
      </c>
      <c r="F95" s="5">
        <f>F96+F97</f>
        <v>21916.84</v>
      </c>
      <c r="G95" s="5" t="s">
        <v>209</v>
      </c>
      <c r="H95" s="58">
        <f>H96+H97</f>
        <v>21916.84</v>
      </c>
    </row>
    <row r="96" spans="1:8" ht="22.5" customHeight="1" x14ac:dyDescent="0.2">
      <c r="A96" s="29"/>
      <c r="B96" s="56"/>
      <c r="C96" s="6" t="s">
        <v>55</v>
      </c>
      <c r="D96" s="6" t="s">
        <v>210</v>
      </c>
      <c r="E96" s="5">
        <f>18301.54</f>
        <v>18301.54</v>
      </c>
      <c r="F96" s="5">
        <f>12958.18</f>
        <v>12958.18</v>
      </c>
      <c r="G96" s="5" t="s">
        <v>211</v>
      </c>
      <c r="H96" s="58">
        <f>12958.18</f>
        <v>12958.18</v>
      </c>
    </row>
    <row r="97" spans="1:8" ht="22.5" customHeight="1" x14ac:dyDescent="0.2">
      <c r="A97" s="29"/>
      <c r="B97" s="56"/>
      <c r="C97" s="6" t="s">
        <v>70</v>
      </c>
      <c r="D97" s="6" t="s">
        <v>212</v>
      </c>
      <c r="E97" s="5">
        <f>13632.45</f>
        <v>13632.45</v>
      </c>
      <c r="F97" s="5">
        <f>8958.66</f>
        <v>8958.66</v>
      </c>
      <c r="G97" s="5" t="s">
        <v>213</v>
      </c>
      <c r="H97" s="58">
        <f>8958.66</f>
        <v>8958.66</v>
      </c>
    </row>
    <row r="98" spans="1:8" ht="22.5" customHeight="1" thickBot="1" x14ac:dyDescent="0.25">
      <c r="A98" s="66" t="s">
        <v>6</v>
      </c>
      <c r="B98" s="67"/>
      <c r="C98" s="67"/>
      <c r="D98" s="68"/>
      <c r="E98" s="69">
        <f>E52+E81+E94</f>
        <v>2390340.1702100006</v>
      </c>
      <c r="F98" s="63">
        <f>F52+F81+F94</f>
        <v>1483469.4610000001</v>
      </c>
      <c r="G98" s="63" t="s">
        <v>125</v>
      </c>
      <c r="H98" s="65">
        <f>H52+H81+H94</f>
        <v>1483469.4610000001</v>
      </c>
    </row>
    <row r="99" spans="1:8" ht="22.5" customHeight="1" x14ac:dyDescent="0.2">
      <c r="A99" s="27">
        <v>4</v>
      </c>
      <c r="B99" s="26" t="s">
        <v>10</v>
      </c>
      <c r="C99" s="16" t="s">
        <v>30</v>
      </c>
      <c r="D99" s="16" t="s">
        <v>214</v>
      </c>
      <c r="E99" s="17">
        <f>E100+E106+E108</f>
        <v>12495</v>
      </c>
      <c r="F99" s="17">
        <f>F100+F106+F108</f>
        <v>7907.6547900000005</v>
      </c>
      <c r="G99" s="17" t="s">
        <v>215</v>
      </c>
      <c r="H99" s="57">
        <f>H100+H106+H108</f>
        <v>7907.6547900000005</v>
      </c>
    </row>
    <row r="100" spans="1:8" ht="22.5" customHeight="1" x14ac:dyDescent="0.2">
      <c r="A100" s="27"/>
      <c r="B100" s="26"/>
      <c r="C100" s="4" t="s">
        <v>180</v>
      </c>
      <c r="D100" s="4" t="s">
        <v>216</v>
      </c>
      <c r="E100" s="5">
        <f>E101</f>
        <v>4395</v>
      </c>
      <c r="F100" s="5">
        <f>F101</f>
        <v>2679.5030000000002</v>
      </c>
      <c r="G100" s="5" t="s">
        <v>217</v>
      </c>
      <c r="H100" s="58">
        <f>H101</f>
        <v>2679.5030000000002</v>
      </c>
    </row>
    <row r="101" spans="1:8" ht="22.5" customHeight="1" x14ac:dyDescent="0.2">
      <c r="A101" s="27"/>
      <c r="B101" s="26"/>
      <c r="C101" s="6" t="s">
        <v>218</v>
      </c>
      <c r="D101" s="4" t="s">
        <v>219</v>
      </c>
      <c r="E101" s="5">
        <f>E102+E103+E104+E105</f>
        <v>4395</v>
      </c>
      <c r="F101" s="5">
        <f>F102+F103+F104+F105</f>
        <v>2679.5030000000002</v>
      </c>
      <c r="G101" s="5" t="s">
        <v>217</v>
      </c>
      <c r="H101" s="58">
        <f>H102+H103+H104+H105</f>
        <v>2679.5030000000002</v>
      </c>
    </row>
    <row r="102" spans="1:8" ht="22.5" customHeight="1" x14ac:dyDescent="0.2">
      <c r="A102" s="27"/>
      <c r="B102" s="26"/>
      <c r="C102" s="6" t="s">
        <v>220</v>
      </c>
      <c r="D102" s="4" t="s">
        <v>221</v>
      </c>
      <c r="E102" s="5">
        <f>1000</f>
        <v>1000</v>
      </c>
      <c r="F102" s="5">
        <f>367.628</f>
        <v>367.62799999999999</v>
      </c>
      <c r="G102" s="5" t="s">
        <v>222</v>
      </c>
      <c r="H102" s="58">
        <f>367.628</f>
        <v>367.62799999999999</v>
      </c>
    </row>
    <row r="103" spans="1:8" ht="22.5" customHeight="1" x14ac:dyDescent="0.2">
      <c r="A103" s="27"/>
      <c r="B103" s="26"/>
      <c r="C103" s="6" t="s">
        <v>223</v>
      </c>
      <c r="D103" s="4" t="s">
        <v>224</v>
      </c>
      <c r="E103" s="5">
        <f>2000</f>
        <v>2000</v>
      </c>
      <c r="F103" s="5">
        <f>1993.875</f>
        <v>1993.875</v>
      </c>
      <c r="G103" s="5" t="s">
        <v>225</v>
      </c>
      <c r="H103" s="58">
        <f>1993.875</f>
        <v>1993.875</v>
      </c>
    </row>
    <row r="104" spans="1:8" ht="22.5" customHeight="1" x14ac:dyDescent="0.2">
      <c r="A104" s="27"/>
      <c r="B104" s="26"/>
      <c r="C104" s="6" t="s">
        <v>226</v>
      </c>
      <c r="D104" s="4" t="s">
        <v>227</v>
      </c>
      <c r="E104" s="5">
        <f>1000</f>
        <v>1000</v>
      </c>
      <c r="F104" s="5">
        <f>210</f>
        <v>210</v>
      </c>
      <c r="G104" s="5" t="s">
        <v>228</v>
      </c>
      <c r="H104" s="58">
        <f>210</f>
        <v>210</v>
      </c>
    </row>
    <row r="105" spans="1:8" ht="22.5" customHeight="1" x14ac:dyDescent="0.2">
      <c r="A105" s="27"/>
      <c r="B105" s="26"/>
      <c r="C105" s="6" t="s">
        <v>229</v>
      </c>
      <c r="D105" s="4" t="s">
        <v>230</v>
      </c>
      <c r="E105" s="5">
        <f>395</f>
        <v>395</v>
      </c>
      <c r="F105" s="5">
        <f>108</f>
        <v>108</v>
      </c>
      <c r="G105" s="5" t="s">
        <v>231</v>
      </c>
      <c r="H105" s="58">
        <f>108</f>
        <v>108</v>
      </c>
    </row>
    <row r="106" spans="1:8" ht="22.5" customHeight="1" x14ac:dyDescent="0.2">
      <c r="A106" s="27"/>
      <c r="B106" s="26"/>
      <c r="C106" s="4" t="s">
        <v>232</v>
      </c>
      <c r="D106" s="4" t="s">
        <v>233</v>
      </c>
      <c r="E106" s="5">
        <f>E107</f>
        <v>8100</v>
      </c>
      <c r="F106" s="5">
        <f>F107</f>
        <v>5228.1517899999999</v>
      </c>
      <c r="G106" s="5" t="s">
        <v>234</v>
      </c>
      <c r="H106" s="58">
        <f>H107</f>
        <v>5228.1517899999999</v>
      </c>
    </row>
    <row r="107" spans="1:8" ht="22.5" customHeight="1" x14ac:dyDescent="0.2">
      <c r="A107" s="27"/>
      <c r="B107" s="26"/>
      <c r="C107" s="6" t="s">
        <v>235</v>
      </c>
      <c r="D107" s="4" t="s">
        <v>236</v>
      </c>
      <c r="E107" s="5">
        <f>8100</f>
        <v>8100</v>
      </c>
      <c r="F107" s="5">
        <f>5228.15179</f>
        <v>5228.1517899999999</v>
      </c>
      <c r="G107" s="5" t="s">
        <v>234</v>
      </c>
      <c r="H107" s="58">
        <f>5228.15179</f>
        <v>5228.1517899999999</v>
      </c>
    </row>
    <row r="108" spans="1:8" ht="22.5" customHeight="1" x14ac:dyDescent="0.2">
      <c r="A108" s="27"/>
      <c r="B108" s="26"/>
      <c r="C108" s="4" t="s">
        <v>237</v>
      </c>
      <c r="D108" s="4" t="s">
        <v>238</v>
      </c>
      <c r="E108" s="5">
        <f>0</f>
        <v>0</v>
      </c>
      <c r="F108" s="5">
        <f>0</f>
        <v>0</v>
      </c>
      <c r="G108" s="5" t="s">
        <v>42</v>
      </c>
      <c r="H108" s="58">
        <f>0</f>
        <v>0</v>
      </c>
    </row>
    <row r="109" spans="1:8" ht="22.5" customHeight="1" x14ac:dyDescent="0.2">
      <c r="A109" s="27"/>
      <c r="B109" s="26"/>
      <c r="C109" s="16" t="s">
        <v>50</v>
      </c>
      <c r="D109" s="16" t="s">
        <v>239</v>
      </c>
      <c r="E109" s="17">
        <f>E110</f>
        <v>23920.61</v>
      </c>
      <c r="F109" s="17">
        <f>F110</f>
        <v>23901.15</v>
      </c>
      <c r="G109" s="17" t="s">
        <v>207</v>
      </c>
      <c r="H109" s="57">
        <f>H110</f>
        <v>23901.15</v>
      </c>
    </row>
    <row r="110" spans="1:8" ht="22.5" customHeight="1" x14ac:dyDescent="0.2">
      <c r="A110" s="27"/>
      <c r="B110" s="26"/>
      <c r="C110" s="4" t="s">
        <v>59</v>
      </c>
      <c r="D110" s="4" t="s">
        <v>240</v>
      </c>
      <c r="E110" s="5">
        <f>E111+E112</f>
        <v>23920.61</v>
      </c>
      <c r="F110" s="5">
        <f>F111+F112</f>
        <v>23901.15</v>
      </c>
      <c r="G110" s="5" t="s">
        <v>207</v>
      </c>
      <c r="H110" s="58">
        <f>H111+H112</f>
        <v>23901.15</v>
      </c>
    </row>
    <row r="111" spans="1:8" ht="22.5" customHeight="1" x14ac:dyDescent="0.2">
      <c r="A111" s="27"/>
      <c r="B111" s="26"/>
      <c r="C111" s="6" t="s">
        <v>176</v>
      </c>
      <c r="D111" s="4" t="s">
        <v>240</v>
      </c>
      <c r="E111" s="5">
        <f>13824.61+4912+5184</f>
        <v>23920.61</v>
      </c>
      <c r="F111" s="5">
        <f>13815.15+4902+5184</f>
        <v>23901.15</v>
      </c>
      <c r="G111" s="5" t="s">
        <v>207</v>
      </c>
      <c r="H111" s="58">
        <f>13815.15+4902+5184</f>
        <v>23901.15</v>
      </c>
    </row>
    <row r="112" spans="1:8" ht="22.5" customHeight="1" x14ac:dyDescent="0.2">
      <c r="A112" s="27"/>
      <c r="B112" s="26"/>
      <c r="C112" s="6" t="s">
        <v>241</v>
      </c>
      <c r="D112" s="4" t="s">
        <v>242</v>
      </c>
      <c r="E112" s="5">
        <v>0</v>
      </c>
      <c r="F112" s="5">
        <v>0</v>
      </c>
      <c r="G112" s="5" t="s">
        <v>42</v>
      </c>
      <c r="H112" s="58">
        <v>0</v>
      </c>
    </row>
    <row r="113" spans="1:8" ht="22.5" customHeight="1" x14ac:dyDescent="0.2">
      <c r="A113" s="27"/>
      <c r="B113" s="26"/>
      <c r="C113" s="16" t="s">
        <v>79</v>
      </c>
      <c r="D113" s="16" t="s">
        <v>243</v>
      </c>
      <c r="E113" s="17">
        <f>E114</f>
        <v>0</v>
      </c>
      <c r="F113" s="17">
        <f>F114</f>
        <v>0</v>
      </c>
      <c r="G113" s="18" t="s">
        <v>42</v>
      </c>
      <c r="H113" s="57">
        <f>H114</f>
        <v>0</v>
      </c>
    </row>
    <row r="114" spans="1:8" ht="22.5" customHeight="1" x14ac:dyDescent="0.2">
      <c r="A114" s="27"/>
      <c r="B114" s="26"/>
      <c r="C114" s="4" t="s">
        <v>59</v>
      </c>
      <c r="D114" s="4" t="s">
        <v>244</v>
      </c>
      <c r="E114" s="5">
        <f>0</f>
        <v>0</v>
      </c>
      <c r="F114" s="5">
        <f>0</f>
        <v>0</v>
      </c>
      <c r="G114" s="5" t="s">
        <v>42</v>
      </c>
      <c r="H114" s="58">
        <f>0</f>
        <v>0</v>
      </c>
    </row>
    <row r="115" spans="1:8" ht="22.5" customHeight="1" x14ac:dyDescent="0.2">
      <c r="A115" s="27"/>
      <c r="B115" s="26"/>
      <c r="C115" s="16" t="s">
        <v>36</v>
      </c>
      <c r="D115" s="16" t="s">
        <v>119</v>
      </c>
      <c r="E115" s="17">
        <f>E116</f>
        <v>4650</v>
      </c>
      <c r="F115" s="17">
        <f>F116</f>
        <v>2845.3540499999999</v>
      </c>
      <c r="G115" s="17" t="s">
        <v>245</v>
      </c>
      <c r="H115" s="57">
        <f>H116</f>
        <v>2845.3540499999999</v>
      </c>
    </row>
    <row r="116" spans="1:8" ht="22.5" customHeight="1" x14ac:dyDescent="0.2">
      <c r="A116" s="27"/>
      <c r="B116" s="26"/>
      <c r="C116" s="4" t="s">
        <v>59</v>
      </c>
      <c r="D116" s="4" t="s">
        <v>246</v>
      </c>
      <c r="E116" s="5">
        <f>E117</f>
        <v>4650</v>
      </c>
      <c r="F116" s="5">
        <f>F117</f>
        <v>2845.3540499999999</v>
      </c>
      <c r="G116" s="5" t="s">
        <v>245</v>
      </c>
      <c r="H116" s="58">
        <f>H117</f>
        <v>2845.3540499999999</v>
      </c>
    </row>
    <row r="117" spans="1:8" ht="22.5" customHeight="1" x14ac:dyDescent="0.2">
      <c r="A117" s="27"/>
      <c r="B117" s="26"/>
      <c r="C117" s="6" t="s">
        <v>247</v>
      </c>
      <c r="D117" s="4" t="s">
        <v>248</v>
      </c>
      <c r="E117" s="5">
        <f>4650</f>
        <v>4650</v>
      </c>
      <c r="F117" s="5">
        <f>2845.35405</f>
        <v>2845.3540499999999</v>
      </c>
      <c r="G117" s="5" t="s">
        <v>245</v>
      </c>
      <c r="H117" s="58">
        <f>2845.35405</f>
        <v>2845.3540499999999</v>
      </c>
    </row>
    <row r="118" spans="1:8" ht="22.5" customHeight="1" x14ac:dyDescent="0.2">
      <c r="A118" s="27"/>
      <c r="B118" s="26"/>
      <c r="C118" s="16" t="s">
        <v>103</v>
      </c>
      <c r="D118" s="16" t="s">
        <v>249</v>
      </c>
      <c r="E118" s="17">
        <f>E119+E120</f>
        <v>0</v>
      </c>
      <c r="F118" s="17">
        <f>F119+F120</f>
        <v>0</v>
      </c>
      <c r="G118" s="18" t="s">
        <v>42</v>
      </c>
      <c r="H118" s="57">
        <f>H119+H120</f>
        <v>0</v>
      </c>
    </row>
    <row r="119" spans="1:8" ht="22.5" customHeight="1" x14ac:dyDescent="0.2">
      <c r="A119" s="27"/>
      <c r="B119" s="26"/>
      <c r="C119" s="4" t="s">
        <v>53</v>
      </c>
      <c r="D119" s="4" t="s">
        <v>250</v>
      </c>
      <c r="E119" s="5">
        <f>0</f>
        <v>0</v>
      </c>
      <c r="F119" s="5">
        <f>0</f>
        <v>0</v>
      </c>
      <c r="G119" s="5" t="s">
        <v>42</v>
      </c>
      <c r="H119" s="58">
        <f>0</f>
        <v>0</v>
      </c>
    </row>
    <row r="120" spans="1:8" ht="22.5" customHeight="1" x14ac:dyDescent="0.2">
      <c r="A120" s="27"/>
      <c r="B120" s="26"/>
      <c r="C120" s="4" t="s">
        <v>32</v>
      </c>
      <c r="D120" s="4" t="s">
        <v>251</v>
      </c>
      <c r="E120" s="5">
        <f>0</f>
        <v>0</v>
      </c>
      <c r="F120" s="5">
        <f>0</f>
        <v>0</v>
      </c>
      <c r="G120" s="5" t="s">
        <v>42</v>
      </c>
      <c r="H120" s="58">
        <f>0</f>
        <v>0</v>
      </c>
    </row>
    <row r="121" spans="1:8" ht="22.5" customHeight="1" x14ac:dyDescent="0.2">
      <c r="A121" s="27"/>
      <c r="B121" s="26"/>
      <c r="C121" s="16" t="s">
        <v>252</v>
      </c>
      <c r="D121" s="16" t="s">
        <v>253</v>
      </c>
      <c r="E121" s="17">
        <f>E122</f>
        <v>100</v>
      </c>
      <c r="F121" s="17">
        <f>F122</f>
        <v>0</v>
      </c>
      <c r="G121" s="17" t="s">
        <v>9</v>
      </c>
      <c r="H121" s="57">
        <f>H122</f>
        <v>0</v>
      </c>
    </row>
    <row r="122" spans="1:8" ht="22.5" customHeight="1" x14ac:dyDescent="0.2">
      <c r="A122" s="27"/>
      <c r="B122" s="26"/>
      <c r="C122" s="4" t="s">
        <v>53</v>
      </c>
      <c r="D122" s="4" t="s">
        <v>254</v>
      </c>
      <c r="E122" s="5">
        <f>E123</f>
        <v>100</v>
      </c>
      <c r="F122" s="5">
        <f>F123</f>
        <v>0</v>
      </c>
      <c r="G122" s="3" t="s">
        <v>9</v>
      </c>
      <c r="H122" s="58">
        <f>H123</f>
        <v>0</v>
      </c>
    </row>
    <row r="123" spans="1:8" ht="22.5" customHeight="1" x14ac:dyDescent="0.2">
      <c r="A123" s="27"/>
      <c r="B123" s="26"/>
      <c r="C123" s="6" t="s">
        <v>55</v>
      </c>
      <c r="D123" s="4" t="s">
        <v>255</v>
      </c>
      <c r="E123" s="5">
        <f>100</f>
        <v>100</v>
      </c>
      <c r="F123" s="5">
        <f>0</f>
        <v>0</v>
      </c>
      <c r="G123" s="3" t="s">
        <v>9</v>
      </c>
      <c r="H123" s="58">
        <f>0</f>
        <v>0</v>
      </c>
    </row>
    <row r="124" spans="1:8" ht="22.5" customHeight="1" thickBot="1" x14ac:dyDescent="0.25">
      <c r="A124" s="71" t="s">
        <v>6</v>
      </c>
      <c r="B124" s="72"/>
      <c r="C124" s="72"/>
      <c r="D124" s="72"/>
      <c r="E124" s="69">
        <f>E99+E109+E113+E115+E118+E121</f>
        <v>41165.61</v>
      </c>
      <c r="F124" s="63">
        <f>F99+F109+F113+F115+F118+F121</f>
        <v>34654.158840000004</v>
      </c>
      <c r="G124" s="64" t="s">
        <v>256</v>
      </c>
      <c r="H124" s="65">
        <f>H99+H109+H113+H115+H118+H121</f>
        <v>34654.158840000004</v>
      </c>
    </row>
    <row r="125" spans="1:8" ht="22.5" customHeight="1" x14ac:dyDescent="0.2">
      <c r="A125" s="43">
        <v>5</v>
      </c>
      <c r="B125" s="44" t="s">
        <v>11</v>
      </c>
      <c r="C125" s="16" t="s">
        <v>30</v>
      </c>
      <c r="D125" s="16" t="s">
        <v>257</v>
      </c>
      <c r="E125" s="17">
        <f>E126+E131+E134</f>
        <v>59787.87</v>
      </c>
      <c r="F125" s="17">
        <f>F126+F131+F134</f>
        <v>37995.699999999997</v>
      </c>
      <c r="G125" s="17" t="s">
        <v>258</v>
      </c>
      <c r="H125" s="57">
        <f>H126+H131+H134</f>
        <v>37995.699999999997</v>
      </c>
    </row>
    <row r="126" spans="1:8" ht="22.5" customHeight="1" x14ac:dyDescent="0.2">
      <c r="A126" s="34"/>
      <c r="B126" s="31"/>
      <c r="C126" s="4" t="s">
        <v>53</v>
      </c>
      <c r="D126" s="4" t="s">
        <v>259</v>
      </c>
      <c r="E126" s="5">
        <f>E127+E128+E129+E130</f>
        <v>39213.79</v>
      </c>
      <c r="F126" s="5">
        <f>F127+F128+F129+F130</f>
        <v>23413.96</v>
      </c>
      <c r="G126" s="5" t="s">
        <v>260</v>
      </c>
      <c r="H126" s="58">
        <f>H127+H128+H129+H130</f>
        <v>23413.96</v>
      </c>
    </row>
    <row r="127" spans="1:8" ht="22.5" customHeight="1" x14ac:dyDescent="0.2">
      <c r="A127" s="34"/>
      <c r="B127" s="31"/>
      <c r="C127" s="6" t="s">
        <v>55</v>
      </c>
      <c r="D127" s="4" t="s">
        <v>261</v>
      </c>
      <c r="E127" s="5">
        <f>7800.33</f>
        <v>7800.33</v>
      </c>
      <c r="F127" s="5">
        <f>5342.82</f>
        <v>5342.82</v>
      </c>
      <c r="G127" s="5" t="s">
        <v>93</v>
      </c>
      <c r="H127" s="58">
        <f>5342.82</f>
        <v>5342.82</v>
      </c>
    </row>
    <row r="128" spans="1:8" ht="22.5" customHeight="1" x14ac:dyDescent="0.2">
      <c r="A128" s="34"/>
      <c r="B128" s="31"/>
      <c r="C128" s="6" t="s">
        <v>70</v>
      </c>
      <c r="D128" s="4" t="s">
        <v>262</v>
      </c>
      <c r="E128" s="5">
        <f>0</f>
        <v>0</v>
      </c>
      <c r="F128" s="5">
        <f>0</f>
        <v>0</v>
      </c>
      <c r="G128" s="5" t="s">
        <v>42</v>
      </c>
      <c r="H128" s="58">
        <f>0</f>
        <v>0</v>
      </c>
    </row>
    <row r="129" spans="1:8" ht="22.5" customHeight="1" x14ac:dyDescent="0.2">
      <c r="A129" s="34"/>
      <c r="B129" s="31"/>
      <c r="C129" s="6" t="s">
        <v>73</v>
      </c>
      <c r="D129" s="4" t="s">
        <v>263</v>
      </c>
      <c r="E129" s="5">
        <f>6330</f>
        <v>6330</v>
      </c>
      <c r="F129" s="5">
        <f>427.85</f>
        <v>427.85</v>
      </c>
      <c r="G129" s="5" t="s">
        <v>264</v>
      </c>
      <c r="H129" s="58">
        <f>427.85</f>
        <v>427.85</v>
      </c>
    </row>
    <row r="130" spans="1:8" ht="22.5" customHeight="1" x14ac:dyDescent="0.2">
      <c r="A130" s="34"/>
      <c r="B130" s="31"/>
      <c r="C130" s="6" t="s">
        <v>57</v>
      </c>
      <c r="D130" s="4" t="s">
        <v>265</v>
      </c>
      <c r="E130" s="5">
        <f>25083.46</f>
        <v>25083.46</v>
      </c>
      <c r="F130" s="5">
        <f>17643.29</f>
        <v>17643.29</v>
      </c>
      <c r="G130" s="5" t="s">
        <v>266</v>
      </c>
      <c r="H130" s="58">
        <f>17643.29</f>
        <v>17643.29</v>
      </c>
    </row>
    <row r="131" spans="1:8" ht="22.5" customHeight="1" x14ac:dyDescent="0.2">
      <c r="A131" s="34"/>
      <c r="B131" s="31"/>
      <c r="C131" s="4" t="s">
        <v>59</v>
      </c>
      <c r="D131" s="4" t="s">
        <v>267</v>
      </c>
      <c r="E131" s="5">
        <f>E132+E133</f>
        <v>574.08000000000004</v>
      </c>
      <c r="F131" s="5">
        <f>F132+F133</f>
        <v>313.68</v>
      </c>
      <c r="G131" s="5" t="s">
        <v>268</v>
      </c>
      <c r="H131" s="58">
        <f>H132+H133</f>
        <v>313.68</v>
      </c>
    </row>
    <row r="132" spans="1:8" ht="22.5" customHeight="1" x14ac:dyDescent="0.2">
      <c r="A132" s="34"/>
      <c r="B132" s="31"/>
      <c r="C132" s="6" t="s">
        <v>176</v>
      </c>
      <c r="D132" s="4" t="s">
        <v>269</v>
      </c>
      <c r="E132" s="5">
        <f>0</f>
        <v>0</v>
      </c>
      <c r="F132" s="5">
        <f>0</f>
        <v>0</v>
      </c>
      <c r="G132" s="5" t="s">
        <v>42</v>
      </c>
      <c r="H132" s="58">
        <f>0</f>
        <v>0</v>
      </c>
    </row>
    <row r="133" spans="1:8" ht="22.5" customHeight="1" x14ac:dyDescent="0.2">
      <c r="A133" s="34"/>
      <c r="B133" s="31"/>
      <c r="C133" s="6" t="s">
        <v>241</v>
      </c>
      <c r="D133" s="4" t="s">
        <v>270</v>
      </c>
      <c r="E133" s="5">
        <f>574.08</f>
        <v>574.08000000000004</v>
      </c>
      <c r="F133" s="5">
        <f>313.68</f>
        <v>313.68</v>
      </c>
      <c r="G133" s="5" t="s">
        <v>271</v>
      </c>
      <c r="H133" s="58">
        <f>313.68</f>
        <v>313.68</v>
      </c>
    </row>
    <row r="134" spans="1:8" ht="22.5" customHeight="1" x14ac:dyDescent="0.2">
      <c r="A134" s="34"/>
      <c r="B134" s="31"/>
      <c r="C134" s="4" t="s">
        <v>82</v>
      </c>
      <c r="D134" s="4" t="s">
        <v>272</v>
      </c>
      <c r="E134" s="5">
        <f>E135</f>
        <v>20000</v>
      </c>
      <c r="F134" s="5">
        <f>F135</f>
        <v>14268.06</v>
      </c>
      <c r="G134" s="5" t="s">
        <v>273</v>
      </c>
      <c r="H134" s="58">
        <f>H135</f>
        <v>14268.06</v>
      </c>
    </row>
    <row r="135" spans="1:8" ht="22.5" customHeight="1" x14ac:dyDescent="0.2">
      <c r="A135" s="34"/>
      <c r="B135" s="31"/>
      <c r="C135" s="6" t="s">
        <v>88</v>
      </c>
      <c r="D135" s="4" t="s">
        <v>274</v>
      </c>
      <c r="E135" s="5">
        <f>4620+15380</f>
        <v>20000</v>
      </c>
      <c r="F135" s="5">
        <f>4620+9648.06</f>
        <v>14268.06</v>
      </c>
      <c r="G135" s="5" t="s">
        <v>273</v>
      </c>
      <c r="H135" s="58">
        <f>4620+9648.06</f>
        <v>14268.06</v>
      </c>
    </row>
    <row r="136" spans="1:8" ht="22.5" customHeight="1" x14ac:dyDescent="0.2">
      <c r="A136" s="34"/>
      <c r="B136" s="31"/>
      <c r="C136" s="16" t="s">
        <v>50</v>
      </c>
      <c r="D136" s="16" t="s">
        <v>275</v>
      </c>
      <c r="E136" s="17">
        <f>E137</f>
        <v>100418.3</v>
      </c>
      <c r="F136" s="17">
        <f>F137</f>
        <v>70216.58</v>
      </c>
      <c r="G136" s="17" t="s">
        <v>276</v>
      </c>
      <c r="H136" s="57">
        <f>H137</f>
        <v>70216.58</v>
      </c>
    </row>
    <row r="137" spans="1:8" ht="22.5" customHeight="1" x14ac:dyDescent="0.2">
      <c r="A137" s="34"/>
      <c r="B137" s="31"/>
      <c r="C137" s="4" t="s">
        <v>53</v>
      </c>
      <c r="D137" s="4" t="s">
        <v>277</v>
      </c>
      <c r="E137" s="5">
        <f>E138+E139</f>
        <v>100418.3</v>
      </c>
      <c r="F137" s="5">
        <f>F138+F139</f>
        <v>70216.58</v>
      </c>
      <c r="G137" s="5" t="s">
        <v>276</v>
      </c>
      <c r="H137" s="58">
        <f>H138+H139</f>
        <v>70216.58</v>
      </c>
    </row>
    <row r="138" spans="1:8" ht="22.5" customHeight="1" x14ac:dyDescent="0.2">
      <c r="A138" s="34"/>
      <c r="B138" s="31"/>
      <c r="C138" s="6" t="s">
        <v>55</v>
      </c>
      <c r="D138" s="4" t="s">
        <v>278</v>
      </c>
      <c r="E138" s="5">
        <f>88170.85</f>
        <v>88170.85</v>
      </c>
      <c r="F138" s="5">
        <f>60528.28</f>
        <v>60528.28</v>
      </c>
      <c r="G138" s="5" t="s">
        <v>209</v>
      </c>
      <c r="H138" s="58">
        <f>60528.28</f>
        <v>60528.28</v>
      </c>
    </row>
    <row r="139" spans="1:8" ht="22.5" customHeight="1" x14ac:dyDescent="0.2">
      <c r="A139" s="34"/>
      <c r="B139" s="31"/>
      <c r="C139" s="6" t="s">
        <v>70</v>
      </c>
      <c r="D139" s="4" t="s">
        <v>279</v>
      </c>
      <c r="E139" s="5">
        <f>12247.45</f>
        <v>12247.45</v>
      </c>
      <c r="F139" s="5">
        <f>9688.3</f>
        <v>9688.2999999999993</v>
      </c>
      <c r="G139" s="5" t="s">
        <v>280</v>
      </c>
      <c r="H139" s="58">
        <f>9688.3</f>
        <v>9688.2999999999993</v>
      </c>
    </row>
    <row r="140" spans="1:8" ht="22.5" customHeight="1" x14ac:dyDescent="0.2">
      <c r="A140" s="34"/>
      <c r="B140" s="31"/>
      <c r="C140" s="16" t="s">
        <v>64</v>
      </c>
      <c r="D140" s="16" t="s">
        <v>119</v>
      </c>
      <c r="E140" s="17">
        <f>E141</f>
        <v>5846.27</v>
      </c>
      <c r="F140" s="17">
        <f>F141</f>
        <v>4132.7700000000004</v>
      </c>
      <c r="G140" s="17" t="s">
        <v>281</v>
      </c>
      <c r="H140" s="57">
        <f>H141</f>
        <v>4132.7700000000004</v>
      </c>
    </row>
    <row r="141" spans="1:8" ht="22.5" customHeight="1" x14ac:dyDescent="0.2">
      <c r="A141" s="34"/>
      <c r="B141" s="31"/>
      <c r="C141" s="4" t="s">
        <v>53</v>
      </c>
      <c r="D141" s="4" t="s">
        <v>121</v>
      </c>
      <c r="E141" s="5">
        <f>E142</f>
        <v>5846.27</v>
      </c>
      <c r="F141" s="5">
        <f>F142</f>
        <v>4132.7700000000004</v>
      </c>
      <c r="G141" s="5" t="s">
        <v>281</v>
      </c>
      <c r="H141" s="58">
        <f>H142</f>
        <v>4132.7700000000004</v>
      </c>
    </row>
    <row r="142" spans="1:8" ht="22.5" customHeight="1" x14ac:dyDescent="0.2">
      <c r="A142" s="34"/>
      <c r="B142" s="31"/>
      <c r="C142" s="6" t="s">
        <v>55</v>
      </c>
      <c r="D142" s="4" t="s">
        <v>282</v>
      </c>
      <c r="E142" s="5">
        <f>5846.27</f>
        <v>5846.27</v>
      </c>
      <c r="F142" s="5">
        <f>4132.77</f>
        <v>4132.7700000000004</v>
      </c>
      <c r="G142" s="5" t="s">
        <v>281</v>
      </c>
      <c r="H142" s="58">
        <f>4132.77</f>
        <v>4132.7700000000004</v>
      </c>
    </row>
    <row r="143" spans="1:8" ht="22.5" customHeight="1" thickBot="1" x14ac:dyDescent="0.25">
      <c r="A143" s="71" t="s">
        <v>6</v>
      </c>
      <c r="B143" s="72"/>
      <c r="C143" s="72"/>
      <c r="D143" s="72"/>
      <c r="E143" s="69">
        <f>E125+E136+E140</f>
        <v>166052.44</v>
      </c>
      <c r="F143" s="63">
        <f>F125+F136+F140</f>
        <v>112345.05</v>
      </c>
      <c r="G143" s="73" t="s">
        <v>283</v>
      </c>
      <c r="H143" s="65">
        <f>H125+H136+H140</f>
        <v>112345.05</v>
      </c>
    </row>
    <row r="144" spans="1:8" ht="22.5" customHeight="1" x14ac:dyDescent="0.2">
      <c r="A144" s="45">
        <v>6</v>
      </c>
      <c r="B144" s="46" t="s">
        <v>12</v>
      </c>
      <c r="C144" s="16" t="s">
        <v>50</v>
      </c>
      <c r="D144" s="16" t="s">
        <v>284</v>
      </c>
      <c r="E144" s="17">
        <f>E145</f>
        <v>49.84</v>
      </c>
      <c r="F144" s="17">
        <f>F145</f>
        <v>49.83</v>
      </c>
      <c r="G144" s="17" t="s">
        <v>75</v>
      </c>
      <c r="H144" s="57">
        <f>H145</f>
        <v>49.83</v>
      </c>
    </row>
    <row r="145" spans="1:8" ht="22.5" customHeight="1" x14ac:dyDescent="0.2">
      <c r="A145" s="27"/>
      <c r="B145" s="47"/>
      <c r="C145" s="4" t="s">
        <v>53</v>
      </c>
      <c r="D145" s="4" t="s">
        <v>285</v>
      </c>
      <c r="E145" s="5">
        <f>E146</f>
        <v>49.84</v>
      </c>
      <c r="F145" s="5">
        <f>F146</f>
        <v>49.83</v>
      </c>
      <c r="G145" s="5" t="s">
        <v>75</v>
      </c>
      <c r="H145" s="58">
        <f>H146</f>
        <v>49.83</v>
      </c>
    </row>
    <row r="146" spans="1:8" ht="22.5" customHeight="1" x14ac:dyDescent="0.2">
      <c r="A146" s="27"/>
      <c r="B146" s="47"/>
      <c r="C146" s="6" t="s">
        <v>70</v>
      </c>
      <c r="D146" s="4" t="s">
        <v>286</v>
      </c>
      <c r="E146" s="5">
        <f>49.84</f>
        <v>49.84</v>
      </c>
      <c r="F146" s="5">
        <f>49.83</f>
        <v>49.83</v>
      </c>
      <c r="G146" s="5" t="s">
        <v>75</v>
      </c>
      <c r="H146" s="58">
        <f>49.83</f>
        <v>49.83</v>
      </c>
    </row>
    <row r="147" spans="1:8" ht="22.5" customHeight="1" x14ac:dyDescent="0.2">
      <c r="A147" s="27"/>
      <c r="B147" s="47"/>
      <c r="C147" s="16" t="s">
        <v>79</v>
      </c>
      <c r="D147" s="16" t="s">
        <v>287</v>
      </c>
      <c r="E147" s="17">
        <f>E148</f>
        <v>692</v>
      </c>
      <c r="F147" s="17">
        <f>F148</f>
        <v>323.29000000000002</v>
      </c>
      <c r="G147" s="17" t="s">
        <v>288</v>
      </c>
      <c r="H147" s="57">
        <f>H148</f>
        <v>323.29000000000002</v>
      </c>
    </row>
    <row r="148" spans="1:8" ht="22.5" customHeight="1" x14ac:dyDescent="0.2">
      <c r="A148" s="27"/>
      <c r="B148" s="47"/>
      <c r="C148" s="4" t="s">
        <v>53</v>
      </c>
      <c r="D148" s="4" t="s">
        <v>289</v>
      </c>
      <c r="E148" s="5">
        <f>E149</f>
        <v>692</v>
      </c>
      <c r="F148" s="5">
        <f>F149</f>
        <v>323.29000000000002</v>
      </c>
      <c r="G148" s="5" t="s">
        <v>288</v>
      </c>
      <c r="H148" s="58">
        <f>H149</f>
        <v>323.29000000000002</v>
      </c>
    </row>
    <row r="149" spans="1:8" ht="22.5" customHeight="1" x14ac:dyDescent="0.2">
      <c r="A149" s="27"/>
      <c r="B149" s="47"/>
      <c r="C149" s="6" t="s">
        <v>55</v>
      </c>
      <c r="D149" s="4" t="s">
        <v>290</v>
      </c>
      <c r="E149" s="5">
        <f>692</f>
        <v>692</v>
      </c>
      <c r="F149" s="5">
        <f>323.29</f>
        <v>323.29000000000002</v>
      </c>
      <c r="G149" s="5" t="s">
        <v>288</v>
      </c>
      <c r="H149" s="58">
        <f>323.29</f>
        <v>323.29000000000002</v>
      </c>
    </row>
    <row r="150" spans="1:8" ht="22.5" customHeight="1" thickBot="1" x14ac:dyDescent="0.25">
      <c r="A150" s="74" t="s">
        <v>6</v>
      </c>
      <c r="B150" s="75"/>
      <c r="C150" s="75"/>
      <c r="D150" s="75"/>
      <c r="E150" s="69">
        <f>E144+E147</f>
        <v>741.84</v>
      </c>
      <c r="F150" s="63">
        <f>F144+F147</f>
        <v>373.12</v>
      </c>
      <c r="G150" s="64" t="s">
        <v>291</v>
      </c>
      <c r="H150" s="65">
        <f>H144+H147</f>
        <v>373.12</v>
      </c>
    </row>
    <row r="151" spans="1:8" ht="22.5" customHeight="1" x14ac:dyDescent="0.2">
      <c r="A151" s="32">
        <v>7</v>
      </c>
      <c r="B151" s="26" t="s">
        <v>13</v>
      </c>
      <c r="C151" s="16" t="s">
        <v>30</v>
      </c>
      <c r="D151" s="16" t="s">
        <v>292</v>
      </c>
      <c r="E151" s="17">
        <f>E152+E156</f>
        <v>148.31</v>
      </c>
      <c r="F151" s="17">
        <f>F152+F156</f>
        <v>146.31</v>
      </c>
      <c r="G151" s="17" t="s">
        <v>293</v>
      </c>
      <c r="H151" s="57">
        <f>H152+H156</f>
        <v>146.31</v>
      </c>
    </row>
    <row r="152" spans="1:8" ht="22.5" customHeight="1" x14ac:dyDescent="0.2">
      <c r="A152" s="32"/>
      <c r="B152" s="26"/>
      <c r="C152" s="4" t="s">
        <v>53</v>
      </c>
      <c r="D152" s="4" t="s">
        <v>294</v>
      </c>
      <c r="E152" s="5">
        <f>E153</f>
        <v>98.31</v>
      </c>
      <c r="F152" s="5">
        <f>F153</f>
        <v>98.31</v>
      </c>
      <c r="G152" s="5" t="s">
        <v>75</v>
      </c>
      <c r="H152" s="58">
        <f>H153</f>
        <v>98.31</v>
      </c>
    </row>
    <row r="153" spans="1:8" ht="22.5" customHeight="1" x14ac:dyDescent="0.2">
      <c r="A153" s="32"/>
      <c r="B153" s="26"/>
      <c r="C153" s="6" t="s">
        <v>73</v>
      </c>
      <c r="D153" s="4" t="s">
        <v>295</v>
      </c>
      <c r="E153" s="5">
        <f>E154+E155</f>
        <v>98.31</v>
      </c>
      <c r="F153" s="5">
        <f>F154+F155</f>
        <v>98.31</v>
      </c>
      <c r="G153" s="5" t="s">
        <v>75</v>
      </c>
      <c r="H153" s="58">
        <f>H154+H155</f>
        <v>98.31</v>
      </c>
    </row>
    <row r="154" spans="1:8" ht="22.5" customHeight="1" x14ac:dyDescent="0.2">
      <c r="A154" s="32"/>
      <c r="B154" s="26"/>
      <c r="C154" s="6" t="s">
        <v>296</v>
      </c>
      <c r="D154" s="4" t="s">
        <v>297</v>
      </c>
      <c r="E154" s="5">
        <f>62.41</f>
        <v>62.41</v>
      </c>
      <c r="F154" s="5">
        <f>62.41</f>
        <v>62.41</v>
      </c>
      <c r="G154" s="5" t="s">
        <v>75</v>
      </c>
      <c r="H154" s="58">
        <f>62.41</f>
        <v>62.41</v>
      </c>
    </row>
    <row r="155" spans="1:8" ht="22.5" customHeight="1" x14ac:dyDescent="0.2">
      <c r="A155" s="32"/>
      <c r="B155" s="26"/>
      <c r="C155" s="6" t="s">
        <v>298</v>
      </c>
      <c r="D155" s="4" t="s">
        <v>299</v>
      </c>
      <c r="E155" s="5">
        <f>35.9</f>
        <v>35.9</v>
      </c>
      <c r="F155" s="5">
        <f>35.9</f>
        <v>35.9</v>
      </c>
      <c r="G155" s="5" t="s">
        <v>75</v>
      </c>
      <c r="H155" s="58">
        <f>35.9</f>
        <v>35.9</v>
      </c>
    </row>
    <row r="156" spans="1:8" ht="22.5" customHeight="1" x14ac:dyDescent="0.2">
      <c r="A156" s="32"/>
      <c r="B156" s="26"/>
      <c r="C156" s="4" t="s">
        <v>59</v>
      </c>
      <c r="D156" s="4" t="s">
        <v>300</v>
      </c>
      <c r="E156" s="5">
        <f>E157</f>
        <v>50</v>
      </c>
      <c r="F156" s="5">
        <f>F157</f>
        <v>48</v>
      </c>
      <c r="G156" s="5" t="s">
        <v>301</v>
      </c>
      <c r="H156" s="58">
        <f>H157</f>
        <v>48</v>
      </c>
    </row>
    <row r="157" spans="1:8" ht="22.5" customHeight="1" x14ac:dyDescent="0.2">
      <c r="A157" s="32"/>
      <c r="B157" s="26"/>
      <c r="C157" s="6" t="s">
        <v>176</v>
      </c>
      <c r="D157" s="4" t="s">
        <v>302</v>
      </c>
      <c r="E157" s="5">
        <f>50</f>
        <v>50</v>
      </c>
      <c r="F157" s="5">
        <f>48</f>
        <v>48</v>
      </c>
      <c r="G157" s="5" t="s">
        <v>301</v>
      </c>
      <c r="H157" s="58">
        <f>48</f>
        <v>48</v>
      </c>
    </row>
    <row r="158" spans="1:8" ht="22.5" customHeight="1" x14ac:dyDescent="0.2">
      <c r="A158" s="32"/>
      <c r="B158" s="26"/>
      <c r="C158" s="16" t="s">
        <v>36</v>
      </c>
      <c r="D158" s="16" t="s">
        <v>303</v>
      </c>
      <c r="E158" s="17">
        <f>E159</f>
        <v>400</v>
      </c>
      <c r="F158" s="17">
        <f>F159</f>
        <v>204</v>
      </c>
      <c r="G158" s="17" t="s">
        <v>304</v>
      </c>
      <c r="H158" s="57">
        <f>H159</f>
        <v>204</v>
      </c>
    </row>
    <row r="159" spans="1:8" ht="22.5" customHeight="1" x14ac:dyDescent="0.2">
      <c r="A159" s="32"/>
      <c r="B159" s="26"/>
      <c r="C159" s="4" t="s">
        <v>53</v>
      </c>
      <c r="D159" s="4" t="s">
        <v>305</v>
      </c>
      <c r="E159" s="5">
        <f>E160</f>
        <v>400</v>
      </c>
      <c r="F159" s="5">
        <f>F160</f>
        <v>204</v>
      </c>
      <c r="G159" s="5" t="s">
        <v>304</v>
      </c>
      <c r="H159" s="58">
        <f>H160</f>
        <v>204</v>
      </c>
    </row>
    <row r="160" spans="1:8" ht="22.5" customHeight="1" x14ac:dyDescent="0.2">
      <c r="A160" s="32"/>
      <c r="B160" s="26"/>
      <c r="C160" s="6" t="s">
        <v>57</v>
      </c>
      <c r="D160" s="4" t="s">
        <v>306</v>
      </c>
      <c r="E160" s="5">
        <f>400</f>
        <v>400</v>
      </c>
      <c r="F160" s="5">
        <f>204</f>
        <v>204</v>
      </c>
      <c r="G160" s="5" t="s">
        <v>304</v>
      </c>
      <c r="H160" s="58">
        <f>204</f>
        <v>204</v>
      </c>
    </row>
    <row r="161" spans="1:8" ht="22.5" customHeight="1" thickBot="1" x14ac:dyDescent="0.25">
      <c r="A161" s="76" t="s">
        <v>6</v>
      </c>
      <c r="B161" s="77"/>
      <c r="C161" s="77"/>
      <c r="D161" s="78"/>
      <c r="E161" s="69">
        <f>E151+E158</f>
        <v>548.30999999999995</v>
      </c>
      <c r="F161" s="63">
        <f>F151+F158</f>
        <v>350.31</v>
      </c>
      <c r="G161" s="64" t="s">
        <v>146</v>
      </c>
      <c r="H161" s="65">
        <f>H151+H158</f>
        <v>350.31</v>
      </c>
    </row>
    <row r="162" spans="1:8" ht="22.5" customHeight="1" x14ac:dyDescent="0.2">
      <c r="A162" s="27">
        <v>8</v>
      </c>
      <c r="B162" s="26" t="s">
        <v>14</v>
      </c>
      <c r="C162" s="16" t="s">
        <v>30</v>
      </c>
      <c r="D162" s="16" t="s">
        <v>307</v>
      </c>
      <c r="E162" s="17">
        <f>E163+E167+E173+E178+E182+E188</f>
        <v>35108.480000000003</v>
      </c>
      <c r="F162" s="17">
        <f>F163+F167+F173+F178+F182+F188</f>
        <v>18766.38</v>
      </c>
      <c r="G162" s="17" t="s">
        <v>308</v>
      </c>
      <c r="H162" s="57">
        <f>H163+H167+H173+H178+H182+H188</f>
        <v>18766.38</v>
      </c>
    </row>
    <row r="163" spans="1:8" ht="22.5" customHeight="1" x14ac:dyDescent="0.2">
      <c r="A163" s="27"/>
      <c r="B163" s="26"/>
      <c r="C163" s="4" t="s">
        <v>53</v>
      </c>
      <c r="D163" s="4" t="s">
        <v>309</v>
      </c>
      <c r="E163" s="5">
        <f>E164+E165+E166</f>
        <v>14818.26</v>
      </c>
      <c r="F163" s="5">
        <f>F164+F165+F166</f>
        <v>8181.7</v>
      </c>
      <c r="G163" s="5" t="s">
        <v>310</v>
      </c>
      <c r="H163" s="58">
        <f>H164+H165+H166</f>
        <v>8181.7</v>
      </c>
    </row>
    <row r="164" spans="1:8" ht="22.5" customHeight="1" x14ac:dyDescent="0.2">
      <c r="A164" s="27"/>
      <c r="B164" s="26"/>
      <c r="C164" s="6" t="s">
        <v>55</v>
      </c>
      <c r="D164" s="4" t="s">
        <v>311</v>
      </c>
      <c r="E164" s="5">
        <f>0</f>
        <v>0</v>
      </c>
      <c r="F164" s="5">
        <f>0</f>
        <v>0</v>
      </c>
      <c r="G164" s="5" t="s">
        <v>42</v>
      </c>
      <c r="H164" s="58">
        <f>0</f>
        <v>0</v>
      </c>
    </row>
    <row r="165" spans="1:8" ht="22.5" customHeight="1" x14ac:dyDescent="0.2">
      <c r="A165" s="27"/>
      <c r="B165" s="26"/>
      <c r="C165" s="6" t="s">
        <v>70</v>
      </c>
      <c r="D165" s="4" t="s">
        <v>312</v>
      </c>
      <c r="E165" s="5">
        <f>106</f>
        <v>106</v>
      </c>
      <c r="F165" s="5">
        <f>28.99</f>
        <v>28.99</v>
      </c>
      <c r="G165" s="5" t="s">
        <v>231</v>
      </c>
      <c r="H165" s="58">
        <f>28.99</f>
        <v>28.99</v>
      </c>
    </row>
    <row r="166" spans="1:8" ht="22.5" customHeight="1" x14ac:dyDescent="0.2">
      <c r="A166" s="27"/>
      <c r="B166" s="26"/>
      <c r="C166" s="6" t="s">
        <v>73</v>
      </c>
      <c r="D166" s="4" t="s">
        <v>313</v>
      </c>
      <c r="E166" s="5">
        <f>14712.26</f>
        <v>14712.26</v>
      </c>
      <c r="F166" s="5">
        <f>8152.71</f>
        <v>8152.71</v>
      </c>
      <c r="G166" s="5" t="s">
        <v>314</v>
      </c>
      <c r="H166" s="58">
        <f>8152.71</f>
        <v>8152.71</v>
      </c>
    </row>
    <row r="167" spans="1:8" ht="22.5" customHeight="1" x14ac:dyDescent="0.2">
      <c r="A167" s="27"/>
      <c r="B167" s="26"/>
      <c r="C167" s="4" t="s">
        <v>32</v>
      </c>
      <c r="D167" s="4" t="s">
        <v>315</v>
      </c>
      <c r="E167" s="5">
        <f>E168+E169+E170+E171+E172</f>
        <v>716.73</v>
      </c>
      <c r="F167" s="5">
        <f>F168+F169+F170+F171+F172</f>
        <v>28.8</v>
      </c>
      <c r="G167" s="5" t="s">
        <v>316</v>
      </c>
      <c r="H167" s="58">
        <f>H168+H169+H170+H171+H172</f>
        <v>28.8</v>
      </c>
    </row>
    <row r="168" spans="1:8" ht="22.5" customHeight="1" x14ac:dyDescent="0.2">
      <c r="A168" s="27"/>
      <c r="B168" s="26"/>
      <c r="C168" s="6" t="s">
        <v>34</v>
      </c>
      <c r="D168" s="4" t="s">
        <v>317</v>
      </c>
      <c r="E168" s="5">
        <f>0</f>
        <v>0</v>
      </c>
      <c r="F168" s="5">
        <f>0</f>
        <v>0</v>
      </c>
      <c r="G168" s="5" t="s">
        <v>42</v>
      </c>
      <c r="H168" s="58">
        <f>0</f>
        <v>0</v>
      </c>
    </row>
    <row r="169" spans="1:8" ht="22.5" customHeight="1" x14ac:dyDescent="0.2">
      <c r="A169" s="27"/>
      <c r="B169" s="26"/>
      <c r="C169" s="6" t="s">
        <v>35</v>
      </c>
      <c r="D169" s="4" t="s">
        <v>318</v>
      </c>
      <c r="E169" s="5">
        <f>671.73</f>
        <v>671.73</v>
      </c>
      <c r="F169" s="5">
        <f>28.8</f>
        <v>28.8</v>
      </c>
      <c r="G169" s="5" t="s">
        <v>319</v>
      </c>
      <c r="H169" s="58">
        <f>28.8</f>
        <v>28.8</v>
      </c>
    </row>
    <row r="170" spans="1:8" ht="22.5" customHeight="1" x14ac:dyDescent="0.2">
      <c r="A170" s="27"/>
      <c r="B170" s="26"/>
      <c r="C170" s="6" t="s">
        <v>43</v>
      </c>
      <c r="D170" s="4" t="s">
        <v>320</v>
      </c>
      <c r="E170" s="5">
        <f>45</f>
        <v>45</v>
      </c>
      <c r="F170" s="5">
        <f>0</f>
        <v>0</v>
      </c>
      <c r="G170" s="5" t="s">
        <v>9</v>
      </c>
      <c r="H170" s="58">
        <f>0</f>
        <v>0</v>
      </c>
    </row>
    <row r="171" spans="1:8" ht="22.5" customHeight="1" x14ac:dyDescent="0.2">
      <c r="A171" s="27"/>
      <c r="B171" s="26"/>
      <c r="C171" s="6" t="s">
        <v>45</v>
      </c>
      <c r="D171" s="4" t="s">
        <v>321</v>
      </c>
      <c r="E171" s="5">
        <f>0</f>
        <v>0</v>
      </c>
      <c r="F171" s="5">
        <f>0</f>
        <v>0</v>
      </c>
      <c r="G171" s="5" t="s">
        <v>42</v>
      </c>
      <c r="H171" s="58">
        <f>0</f>
        <v>0</v>
      </c>
    </row>
    <row r="172" spans="1:8" ht="22.5" customHeight="1" x14ac:dyDescent="0.2">
      <c r="A172" s="27"/>
      <c r="B172" s="26"/>
      <c r="C172" s="6" t="s">
        <v>48</v>
      </c>
      <c r="D172" s="4" t="s">
        <v>322</v>
      </c>
      <c r="E172" s="5">
        <f>0</f>
        <v>0</v>
      </c>
      <c r="F172" s="5">
        <f>0</f>
        <v>0</v>
      </c>
      <c r="G172" s="5" t="s">
        <v>42</v>
      </c>
      <c r="H172" s="58">
        <f>0</f>
        <v>0</v>
      </c>
    </row>
    <row r="173" spans="1:8" ht="22.5" customHeight="1" x14ac:dyDescent="0.2">
      <c r="A173" s="27"/>
      <c r="B173" s="26"/>
      <c r="C173" s="4" t="s">
        <v>59</v>
      </c>
      <c r="D173" s="4" t="s">
        <v>323</v>
      </c>
      <c r="E173" s="5">
        <f>E174+E175+E176+E177</f>
        <v>68</v>
      </c>
      <c r="F173" s="5">
        <f>F174+F175+F176+F177</f>
        <v>0</v>
      </c>
      <c r="G173" s="5" t="s">
        <v>9</v>
      </c>
      <c r="H173" s="58">
        <f>H174+H175+H176+H177</f>
        <v>0</v>
      </c>
    </row>
    <row r="174" spans="1:8" ht="22.5" customHeight="1" x14ac:dyDescent="0.2">
      <c r="A174" s="27"/>
      <c r="B174" s="26"/>
      <c r="C174" s="6" t="s">
        <v>176</v>
      </c>
      <c r="D174" s="4" t="s">
        <v>324</v>
      </c>
      <c r="E174" s="5">
        <f>0</f>
        <v>0</v>
      </c>
      <c r="F174" s="5">
        <f>0</f>
        <v>0</v>
      </c>
      <c r="G174" s="5" t="s">
        <v>42</v>
      </c>
      <c r="H174" s="58">
        <f>0</f>
        <v>0</v>
      </c>
    </row>
    <row r="175" spans="1:8" ht="22.5" customHeight="1" x14ac:dyDescent="0.2">
      <c r="A175" s="27"/>
      <c r="B175" s="26"/>
      <c r="C175" s="6" t="s">
        <v>247</v>
      </c>
      <c r="D175" s="4" t="s">
        <v>325</v>
      </c>
      <c r="E175" s="5">
        <f>10</f>
        <v>10</v>
      </c>
      <c r="F175" s="5">
        <f>0</f>
        <v>0</v>
      </c>
      <c r="G175" s="5" t="s">
        <v>9</v>
      </c>
      <c r="H175" s="58">
        <f>0</f>
        <v>0</v>
      </c>
    </row>
    <row r="176" spans="1:8" ht="22.5" customHeight="1" x14ac:dyDescent="0.2">
      <c r="A176" s="27"/>
      <c r="B176" s="26"/>
      <c r="C176" s="6" t="s">
        <v>241</v>
      </c>
      <c r="D176" s="4" t="s">
        <v>326</v>
      </c>
      <c r="E176" s="5">
        <f>38</f>
        <v>38</v>
      </c>
      <c r="F176" s="5">
        <f>0</f>
        <v>0</v>
      </c>
      <c r="G176" s="5" t="s">
        <v>9</v>
      </c>
      <c r="H176" s="58">
        <f>0</f>
        <v>0</v>
      </c>
    </row>
    <row r="177" spans="1:8" ht="22.5" customHeight="1" x14ac:dyDescent="0.2">
      <c r="A177" s="27"/>
      <c r="B177" s="26"/>
      <c r="C177" s="6" t="s">
        <v>62</v>
      </c>
      <c r="D177" s="4" t="s">
        <v>327</v>
      </c>
      <c r="E177" s="5">
        <f>20</f>
        <v>20</v>
      </c>
      <c r="F177" s="5">
        <f>0</f>
        <v>0</v>
      </c>
      <c r="G177" s="5" t="s">
        <v>9</v>
      </c>
      <c r="H177" s="58">
        <f>0</f>
        <v>0</v>
      </c>
    </row>
    <row r="178" spans="1:8" ht="22.5" customHeight="1" x14ac:dyDescent="0.2">
      <c r="A178" s="27"/>
      <c r="B178" s="26"/>
      <c r="C178" s="4" t="s">
        <v>82</v>
      </c>
      <c r="D178" s="4" t="s">
        <v>328</v>
      </c>
      <c r="E178" s="5">
        <f>E179+E180+E181</f>
        <v>17327.77</v>
      </c>
      <c r="F178" s="5">
        <f>F179+F180+F181</f>
        <v>9704.19</v>
      </c>
      <c r="G178" s="5" t="s">
        <v>329</v>
      </c>
      <c r="H178" s="58">
        <f>H179+H180+H181</f>
        <v>9704.19</v>
      </c>
    </row>
    <row r="179" spans="1:8" ht="22.5" customHeight="1" x14ac:dyDescent="0.2">
      <c r="A179" s="27"/>
      <c r="B179" s="26"/>
      <c r="C179" s="6" t="s">
        <v>85</v>
      </c>
      <c r="D179" s="4" t="s">
        <v>330</v>
      </c>
      <c r="E179" s="5">
        <f>0</f>
        <v>0</v>
      </c>
      <c r="F179" s="5">
        <f>0</f>
        <v>0</v>
      </c>
      <c r="G179" s="5" t="s">
        <v>42</v>
      </c>
      <c r="H179" s="58">
        <f>0</f>
        <v>0</v>
      </c>
    </row>
    <row r="180" spans="1:8" ht="22.5" customHeight="1" x14ac:dyDescent="0.2">
      <c r="A180" s="27"/>
      <c r="B180" s="26"/>
      <c r="C180" s="6" t="s">
        <v>331</v>
      </c>
      <c r="D180" s="4" t="s">
        <v>332</v>
      </c>
      <c r="E180" s="5">
        <f>17327.77</f>
        <v>17327.77</v>
      </c>
      <c r="F180" s="5">
        <f>9704.19</f>
        <v>9704.19</v>
      </c>
      <c r="G180" s="5" t="s">
        <v>329</v>
      </c>
      <c r="H180" s="58">
        <f>9704.19</f>
        <v>9704.19</v>
      </c>
    </row>
    <row r="181" spans="1:8" ht="22.5" customHeight="1" x14ac:dyDescent="0.2">
      <c r="A181" s="27"/>
      <c r="B181" s="26"/>
      <c r="C181" s="6" t="s">
        <v>333</v>
      </c>
      <c r="D181" s="4" t="s">
        <v>334</v>
      </c>
      <c r="E181" s="5">
        <f>0</f>
        <v>0</v>
      </c>
      <c r="F181" s="5">
        <f>0</f>
        <v>0</v>
      </c>
      <c r="G181" s="5" t="s">
        <v>42</v>
      </c>
      <c r="H181" s="58">
        <f>0</f>
        <v>0</v>
      </c>
    </row>
    <row r="182" spans="1:8" ht="22.5" customHeight="1" x14ac:dyDescent="0.2">
      <c r="A182" s="27"/>
      <c r="B182" s="26"/>
      <c r="C182" s="4" t="s">
        <v>91</v>
      </c>
      <c r="D182" s="4" t="s">
        <v>335</v>
      </c>
      <c r="E182" s="5">
        <f>E183+E184+E185+E186+E187</f>
        <v>651.9</v>
      </c>
      <c r="F182" s="5">
        <f>F183+F184+F185+F186+F187</f>
        <v>159</v>
      </c>
      <c r="G182" s="5" t="s">
        <v>336</v>
      </c>
      <c r="H182" s="58">
        <f>H183+H184+H185+H186+H187</f>
        <v>159</v>
      </c>
    </row>
    <row r="183" spans="1:8" ht="22.5" customHeight="1" x14ac:dyDescent="0.2">
      <c r="A183" s="27"/>
      <c r="B183" s="26"/>
      <c r="C183" s="6" t="s">
        <v>203</v>
      </c>
      <c r="D183" s="4" t="s">
        <v>337</v>
      </c>
      <c r="E183" s="5">
        <f>356.9</f>
        <v>356.9</v>
      </c>
      <c r="F183" s="5">
        <f>0</f>
        <v>0</v>
      </c>
      <c r="G183" s="5" t="s">
        <v>9</v>
      </c>
      <c r="H183" s="58">
        <f>0</f>
        <v>0</v>
      </c>
    </row>
    <row r="184" spans="1:8" ht="22.5" customHeight="1" x14ac:dyDescent="0.2">
      <c r="A184" s="27"/>
      <c r="B184" s="26"/>
      <c r="C184" s="6" t="s">
        <v>338</v>
      </c>
      <c r="D184" s="4" t="s">
        <v>339</v>
      </c>
      <c r="E184" s="5">
        <f>183</f>
        <v>183</v>
      </c>
      <c r="F184" s="5">
        <f>159</f>
        <v>159</v>
      </c>
      <c r="G184" s="5" t="s">
        <v>340</v>
      </c>
      <c r="H184" s="58">
        <f>159</f>
        <v>159</v>
      </c>
    </row>
    <row r="185" spans="1:8" ht="22.5" customHeight="1" x14ac:dyDescent="0.2">
      <c r="A185" s="27"/>
      <c r="B185" s="26"/>
      <c r="C185" s="6" t="s">
        <v>341</v>
      </c>
      <c r="D185" s="4" t="s">
        <v>342</v>
      </c>
      <c r="E185" s="5">
        <f>54</f>
        <v>54</v>
      </c>
      <c r="F185" s="5">
        <f>0</f>
        <v>0</v>
      </c>
      <c r="G185" s="5" t="s">
        <v>9</v>
      </c>
      <c r="H185" s="58">
        <f>0</f>
        <v>0</v>
      </c>
    </row>
    <row r="186" spans="1:8" ht="22.5" customHeight="1" x14ac:dyDescent="0.2">
      <c r="A186" s="27"/>
      <c r="B186" s="26"/>
      <c r="C186" s="6" t="s">
        <v>343</v>
      </c>
      <c r="D186" s="4" t="s">
        <v>344</v>
      </c>
      <c r="E186" s="5">
        <f>13</f>
        <v>13</v>
      </c>
      <c r="F186" s="5">
        <f>0</f>
        <v>0</v>
      </c>
      <c r="G186" s="5" t="s">
        <v>9</v>
      </c>
      <c r="H186" s="58">
        <f>0</f>
        <v>0</v>
      </c>
    </row>
    <row r="187" spans="1:8" ht="22.5" customHeight="1" x14ac:dyDescent="0.2">
      <c r="A187" s="27"/>
      <c r="B187" s="26"/>
      <c r="C187" s="6" t="s">
        <v>345</v>
      </c>
      <c r="D187" s="4" t="s">
        <v>346</v>
      </c>
      <c r="E187" s="5">
        <f>45</f>
        <v>45</v>
      </c>
      <c r="F187" s="5">
        <f>0</f>
        <v>0</v>
      </c>
      <c r="G187" s="5" t="s">
        <v>9</v>
      </c>
      <c r="H187" s="58">
        <f>0</f>
        <v>0</v>
      </c>
    </row>
    <row r="188" spans="1:8" ht="22.5" customHeight="1" x14ac:dyDescent="0.2">
      <c r="A188" s="27"/>
      <c r="B188" s="26"/>
      <c r="C188" s="4" t="s">
        <v>96</v>
      </c>
      <c r="D188" s="4" t="s">
        <v>347</v>
      </c>
      <c r="E188" s="5">
        <f>E189+E190+E191</f>
        <v>1525.8200000000002</v>
      </c>
      <c r="F188" s="5">
        <f>F189+F190+F191</f>
        <v>692.68999999999994</v>
      </c>
      <c r="G188" s="5" t="s">
        <v>348</v>
      </c>
      <c r="H188" s="58">
        <f>H189+H190+H191</f>
        <v>692.68999999999994</v>
      </c>
    </row>
    <row r="189" spans="1:8" ht="22.5" customHeight="1" x14ac:dyDescent="0.2">
      <c r="A189" s="27"/>
      <c r="B189" s="26"/>
      <c r="C189" s="6" t="s">
        <v>349</v>
      </c>
      <c r="D189" s="4" t="s">
        <v>350</v>
      </c>
      <c r="E189" s="5">
        <f>1027</f>
        <v>1027</v>
      </c>
      <c r="F189" s="5">
        <f>598.66</f>
        <v>598.66</v>
      </c>
      <c r="G189" s="5" t="s">
        <v>351</v>
      </c>
      <c r="H189" s="58">
        <f>598.66</f>
        <v>598.66</v>
      </c>
    </row>
    <row r="190" spans="1:8" ht="22.5" customHeight="1" x14ac:dyDescent="0.2">
      <c r="A190" s="27"/>
      <c r="B190" s="26"/>
      <c r="C190" s="6" t="s">
        <v>352</v>
      </c>
      <c r="D190" s="4" t="s">
        <v>353</v>
      </c>
      <c r="E190" s="5">
        <f>197.42</f>
        <v>197.42</v>
      </c>
      <c r="F190" s="5">
        <f>94.03</f>
        <v>94.03</v>
      </c>
      <c r="G190" s="5" t="s">
        <v>354</v>
      </c>
      <c r="H190" s="58">
        <f>94.03</f>
        <v>94.03</v>
      </c>
    </row>
    <row r="191" spans="1:8" ht="22.5" customHeight="1" x14ac:dyDescent="0.2">
      <c r="A191" s="27"/>
      <c r="B191" s="26"/>
      <c r="C191" s="6" t="s">
        <v>355</v>
      </c>
      <c r="D191" s="4" t="s">
        <v>356</v>
      </c>
      <c r="E191" s="5">
        <f>301.4</f>
        <v>301.39999999999998</v>
      </c>
      <c r="F191" s="5">
        <f>0</f>
        <v>0</v>
      </c>
      <c r="G191" s="5" t="s">
        <v>9</v>
      </c>
      <c r="H191" s="58">
        <f>0</f>
        <v>0</v>
      </c>
    </row>
    <row r="192" spans="1:8" ht="22.5" customHeight="1" x14ac:dyDescent="0.2">
      <c r="A192" s="27"/>
      <c r="B192" s="26"/>
      <c r="C192" s="16" t="s">
        <v>50</v>
      </c>
      <c r="D192" s="16" t="s">
        <v>357</v>
      </c>
      <c r="E192" s="17">
        <f>E193+E196+E198+E203</f>
        <v>34010.61</v>
      </c>
      <c r="F192" s="17">
        <f>F193+F196+F198+F203</f>
        <v>587.1</v>
      </c>
      <c r="G192" s="17" t="s">
        <v>358</v>
      </c>
      <c r="H192" s="57">
        <f>H193+H196+H198+H203</f>
        <v>587.1</v>
      </c>
    </row>
    <row r="193" spans="1:8" ht="22.5" customHeight="1" x14ac:dyDescent="0.2">
      <c r="A193" s="27"/>
      <c r="B193" s="26"/>
      <c r="C193" s="4" t="s">
        <v>53</v>
      </c>
      <c r="D193" s="4" t="s">
        <v>359</v>
      </c>
      <c r="E193" s="5">
        <f>E194+E195</f>
        <v>954.14</v>
      </c>
      <c r="F193" s="5">
        <f>F194+F195</f>
        <v>200.63</v>
      </c>
      <c r="G193" s="5" t="s">
        <v>228</v>
      </c>
      <c r="H193" s="58">
        <f>H194+H195</f>
        <v>200.63</v>
      </c>
    </row>
    <row r="194" spans="1:8" ht="22.5" customHeight="1" x14ac:dyDescent="0.2">
      <c r="A194" s="27"/>
      <c r="B194" s="26"/>
      <c r="C194" s="6" t="s">
        <v>55</v>
      </c>
      <c r="D194" s="4" t="s">
        <v>360</v>
      </c>
      <c r="E194" s="5">
        <f>275.9</f>
        <v>275.89999999999998</v>
      </c>
      <c r="F194" s="5">
        <f>200.63</f>
        <v>200.63</v>
      </c>
      <c r="G194" s="5" t="s">
        <v>361</v>
      </c>
      <c r="H194" s="58">
        <f>200.63</f>
        <v>200.63</v>
      </c>
    </row>
    <row r="195" spans="1:8" ht="22.5" customHeight="1" x14ac:dyDescent="0.2">
      <c r="A195" s="27"/>
      <c r="B195" s="26"/>
      <c r="C195" s="6" t="s">
        <v>73</v>
      </c>
      <c r="D195" s="4" t="s">
        <v>362</v>
      </c>
      <c r="E195" s="5">
        <f>678.24</f>
        <v>678.24</v>
      </c>
      <c r="F195" s="5">
        <f>0</f>
        <v>0</v>
      </c>
      <c r="G195" s="5" t="s">
        <v>9</v>
      </c>
      <c r="H195" s="58">
        <f>0</f>
        <v>0</v>
      </c>
    </row>
    <row r="196" spans="1:8" ht="22.5" customHeight="1" x14ac:dyDescent="0.2">
      <c r="A196" s="27"/>
      <c r="B196" s="26"/>
      <c r="C196" s="4" t="s">
        <v>32</v>
      </c>
      <c r="D196" s="4" t="s">
        <v>363</v>
      </c>
      <c r="E196" s="5">
        <f>E197</f>
        <v>32441.200000000001</v>
      </c>
      <c r="F196" s="5">
        <f>F197</f>
        <v>0</v>
      </c>
      <c r="G196" s="5" t="s">
        <v>9</v>
      </c>
      <c r="H196" s="58">
        <f>H197</f>
        <v>0</v>
      </c>
    </row>
    <row r="197" spans="1:8" ht="22.5" customHeight="1" x14ac:dyDescent="0.2">
      <c r="A197" s="27"/>
      <c r="B197" s="26"/>
      <c r="C197" s="6" t="s">
        <v>34</v>
      </c>
      <c r="D197" s="4" t="s">
        <v>364</v>
      </c>
      <c r="E197" s="5">
        <f>32441.2</f>
        <v>32441.200000000001</v>
      </c>
      <c r="F197" s="5">
        <f>0</f>
        <v>0</v>
      </c>
      <c r="G197" s="5" t="s">
        <v>9</v>
      </c>
      <c r="H197" s="58">
        <f>0</f>
        <v>0</v>
      </c>
    </row>
    <row r="198" spans="1:8" ht="22.5" customHeight="1" x14ac:dyDescent="0.2">
      <c r="A198" s="27"/>
      <c r="B198" s="26"/>
      <c r="C198" s="4" t="s">
        <v>59</v>
      </c>
      <c r="D198" s="4" t="s">
        <v>365</v>
      </c>
      <c r="E198" s="5">
        <f>E199+E200+E201+E202</f>
        <v>615.27</v>
      </c>
      <c r="F198" s="5">
        <f>F199+F200+F201+F202</f>
        <v>386.47</v>
      </c>
      <c r="G198" s="5" t="s">
        <v>366</v>
      </c>
      <c r="H198" s="58">
        <f>H199+H200+H201+H202</f>
        <v>386.47</v>
      </c>
    </row>
    <row r="199" spans="1:8" ht="22.5" customHeight="1" x14ac:dyDescent="0.2">
      <c r="A199" s="27"/>
      <c r="B199" s="26"/>
      <c r="C199" s="6" t="s">
        <v>176</v>
      </c>
      <c r="D199" s="4" t="s">
        <v>367</v>
      </c>
      <c r="E199" s="5">
        <f>249.6</f>
        <v>249.6</v>
      </c>
      <c r="F199" s="5">
        <f>38.8</f>
        <v>38.799999999999997</v>
      </c>
      <c r="G199" s="5" t="s">
        <v>368</v>
      </c>
      <c r="H199" s="58">
        <f>38.8</f>
        <v>38.799999999999997</v>
      </c>
    </row>
    <row r="200" spans="1:8" ht="22.5" customHeight="1" x14ac:dyDescent="0.2">
      <c r="A200" s="27"/>
      <c r="B200" s="26"/>
      <c r="C200" s="6" t="s">
        <v>247</v>
      </c>
      <c r="D200" s="4" t="s">
        <v>369</v>
      </c>
      <c r="E200" s="5">
        <f>47.67</f>
        <v>47.67</v>
      </c>
      <c r="F200" s="5">
        <f>47.67</f>
        <v>47.67</v>
      </c>
      <c r="G200" s="5" t="s">
        <v>75</v>
      </c>
      <c r="H200" s="58">
        <f>47.67</f>
        <v>47.67</v>
      </c>
    </row>
    <row r="201" spans="1:8" ht="22.5" customHeight="1" x14ac:dyDescent="0.2">
      <c r="A201" s="27"/>
      <c r="B201" s="26"/>
      <c r="C201" s="6" t="s">
        <v>241</v>
      </c>
      <c r="D201" s="4" t="s">
        <v>370</v>
      </c>
      <c r="E201" s="5">
        <f>18</f>
        <v>18</v>
      </c>
      <c r="F201" s="5">
        <f>0</f>
        <v>0</v>
      </c>
      <c r="G201" s="5" t="s">
        <v>9</v>
      </c>
      <c r="H201" s="58">
        <f>0</f>
        <v>0</v>
      </c>
    </row>
    <row r="202" spans="1:8" ht="22.5" customHeight="1" x14ac:dyDescent="0.2">
      <c r="A202" s="27"/>
      <c r="B202" s="26"/>
      <c r="C202" s="6" t="s">
        <v>62</v>
      </c>
      <c r="D202" s="4" t="s">
        <v>371</v>
      </c>
      <c r="E202" s="5">
        <f>300</f>
        <v>300</v>
      </c>
      <c r="F202" s="5">
        <f>300</f>
        <v>300</v>
      </c>
      <c r="G202" s="5" t="s">
        <v>75</v>
      </c>
      <c r="H202" s="58">
        <f>300</f>
        <v>300</v>
      </c>
    </row>
    <row r="203" spans="1:8" ht="22.5" customHeight="1" x14ac:dyDescent="0.2">
      <c r="A203" s="27"/>
      <c r="B203" s="26"/>
      <c r="C203" s="4" t="s">
        <v>91</v>
      </c>
      <c r="D203" s="4" t="s">
        <v>372</v>
      </c>
      <c r="E203" s="5">
        <f>0</f>
        <v>0</v>
      </c>
      <c r="F203" s="5">
        <f>0</f>
        <v>0</v>
      </c>
      <c r="G203" s="5" t="s">
        <v>42</v>
      </c>
      <c r="H203" s="58">
        <f>0</f>
        <v>0</v>
      </c>
    </row>
    <row r="204" spans="1:8" ht="22.5" customHeight="1" x14ac:dyDescent="0.2">
      <c r="A204" s="27"/>
      <c r="B204" s="26"/>
      <c r="C204" s="16" t="s">
        <v>64</v>
      </c>
      <c r="D204" s="16" t="s">
        <v>373</v>
      </c>
      <c r="E204" s="17">
        <f>E205+E208+E210</f>
        <v>4225.57</v>
      </c>
      <c r="F204" s="17">
        <f>F205+F208+F210</f>
        <v>2514.25</v>
      </c>
      <c r="G204" s="5" t="s">
        <v>374</v>
      </c>
      <c r="H204" s="57">
        <f>H205+H208+H210</f>
        <v>2514.25</v>
      </c>
    </row>
    <row r="205" spans="1:8" ht="22.5" customHeight="1" x14ac:dyDescent="0.2">
      <c r="A205" s="27"/>
      <c r="B205" s="26"/>
      <c r="C205" s="4" t="s">
        <v>53</v>
      </c>
      <c r="D205" s="4" t="s">
        <v>375</v>
      </c>
      <c r="E205" s="5">
        <f>E206+E207</f>
        <v>2833.3199999999997</v>
      </c>
      <c r="F205" s="5">
        <f>F206+F207</f>
        <v>1288</v>
      </c>
      <c r="G205" s="5" t="s">
        <v>376</v>
      </c>
      <c r="H205" s="58">
        <f>H206+H207</f>
        <v>1288</v>
      </c>
    </row>
    <row r="206" spans="1:8" ht="22.5" customHeight="1" x14ac:dyDescent="0.2">
      <c r="A206" s="27"/>
      <c r="B206" s="26"/>
      <c r="C206" s="6" t="s">
        <v>55</v>
      </c>
      <c r="D206" s="4" t="s">
        <v>377</v>
      </c>
      <c r="E206" s="5">
        <f>1993.32</f>
        <v>1993.32</v>
      </c>
      <c r="F206" s="5">
        <f>1288</f>
        <v>1288</v>
      </c>
      <c r="G206" s="5" t="s">
        <v>378</v>
      </c>
      <c r="H206" s="58">
        <f>1288</f>
        <v>1288</v>
      </c>
    </row>
    <row r="207" spans="1:8" ht="22.5" customHeight="1" x14ac:dyDescent="0.2">
      <c r="A207" s="27"/>
      <c r="B207" s="26"/>
      <c r="C207" s="6" t="s">
        <v>70</v>
      </c>
      <c r="D207" s="4" t="s">
        <v>379</v>
      </c>
      <c r="E207" s="5">
        <f>840</f>
        <v>840</v>
      </c>
      <c r="F207" s="5">
        <f>0</f>
        <v>0</v>
      </c>
      <c r="G207" s="5" t="s">
        <v>9</v>
      </c>
      <c r="H207" s="58">
        <f>0</f>
        <v>0</v>
      </c>
    </row>
    <row r="208" spans="1:8" ht="22.5" customHeight="1" x14ac:dyDescent="0.2">
      <c r="A208" s="27"/>
      <c r="B208" s="26"/>
      <c r="C208" s="4" t="s">
        <v>32</v>
      </c>
      <c r="D208" s="4" t="s">
        <v>380</v>
      </c>
      <c r="E208" s="5">
        <f>E209</f>
        <v>148</v>
      </c>
      <c r="F208" s="5">
        <f>F209</f>
        <v>0</v>
      </c>
      <c r="G208" s="5" t="s">
        <v>9</v>
      </c>
      <c r="H208" s="58">
        <f>H209</f>
        <v>0</v>
      </c>
    </row>
    <row r="209" spans="1:8" ht="22.5" customHeight="1" x14ac:dyDescent="0.2">
      <c r="A209" s="27"/>
      <c r="B209" s="26"/>
      <c r="C209" s="6" t="s">
        <v>34</v>
      </c>
      <c r="D209" s="4" t="s">
        <v>381</v>
      </c>
      <c r="E209" s="5">
        <f>148</f>
        <v>148</v>
      </c>
      <c r="F209" s="5">
        <f>0</f>
        <v>0</v>
      </c>
      <c r="G209" s="5" t="s">
        <v>9</v>
      </c>
      <c r="H209" s="58">
        <f>0</f>
        <v>0</v>
      </c>
    </row>
    <row r="210" spans="1:8" ht="22.5" customHeight="1" x14ac:dyDescent="0.2">
      <c r="A210" s="27"/>
      <c r="B210" s="26"/>
      <c r="C210" s="4" t="s">
        <v>59</v>
      </c>
      <c r="D210" s="4" t="s">
        <v>382</v>
      </c>
      <c r="E210" s="5">
        <f>E211+E212+E213+E214+E215</f>
        <v>1244.25</v>
      </c>
      <c r="F210" s="5">
        <f>F211+F212+F213+F214+F215</f>
        <v>1226.25</v>
      </c>
      <c r="G210" s="5" t="s">
        <v>383</v>
      </c>
      <c r="H210" s="58">
        <f>H211+H212+H213+H214+H215</f>
        <v>1226.25</v>
      </c>
    </row>
    <row r="211" spans="1:8" ht="22.5" customHeight="1" x14ac:dyDescent="0.2">
      <c r="A211" s="27"/>
      <c r="B211" s="26"/>
      <c r="C211" s="6" t="s">
        <v>176</v>
      </c>
      <c r="D211" s="4" t="s">
        <v>384</v>
      </c>
      <c r="E211" s="5">
        <f>1226.25</f>
        <v>1226.25</v>
      </c>
      <c r="F211" s="5">
        <f>1226.25</f>
        <v>1226.25</v>
      </c>
      <c r="G211" s="5" t="s">
        <v>75</v>
      </c>
      <c r="H211" s="58">
        <f>1226.25</f>
        <v>1226.25</v>
      </c>
    </row>
    <row r="212" spans="1:8" ht="22.5" customHeight="1" x14ac:dyDescent="0.2">
      <c r="A212" s="27"/>
      <c r="B212" s="26"/>
      <c r="C212" s="6" t="s">
        <v>247</v>
      </c>
      <c r="D212" s="4" t="s">
        <v>385</v>
      </c>
      <c r="E212" s="5">
        <f>0</f>
        <v>0</v>
      </c>
      <c r="F212" s="5">
        <f>0</f>
        <v>0</v>
      </c>
      <c r="G212" s="5" t="s">
        <v>42</v>
      </c>
      <c r="H212" s="58">
        <f>0</f>
        <v>0</v>
      </c>
    </row>
    <row r="213" spans="1:8" ht="22.5" customHeight="1" x14ac:dyDescent="0.2">
      <c r="A213" s="27"/>
      <c r="B213" s="26"/>
      <c r="C213" s="6" t="s">
        <v>241</v>
      </c>
      <c r="D213" s="4" t="s">
        <v>386</v>
      </c>
      <c r="E213" s="5">
        <f>0</f>
        <v>0</v>
      </c>
      <c r="F213" s="5">
        <f>0</f>
        <v>0</v>
      </c>
      <c r="G213" s="5" t="s">
        <v>42</v>
      </c>
      <c r="H213" s="58">
        <f>0</f>
        <v>0</v>
      </c>
    </row>
    <row r="214" spans="1:8" ht="22.5" customHeight="1" x14ac:dyDescent="0.2">
      <c r="A214" s="27"/>
      <c r="B214" s="26"/>
      <c r="C214" s="6" t="s">
        <v>62</v>
      </c>
      <c r="D214" s="4" t="s">
        <v>387</v>
      </c>
      <c r="E214" s="5">
        <f>18</f>
        <v>18</v>
      </c>
      <c r="F214" s="5">
        <f>0</f>
        <v>0</v>
      </c>
      <c r="G214" s="5" t="s">
        <v>9</v>
      </c>
      <c r="H214" s="58">
        <f>0</f>
        <v>0</v>
      </c>
    </row>
    <row r="215" spans="1:8" ht="22.5" customHeight="1" x14ac:dyDescent="0.2">
      <c r="A215" s="27"/>
      <c r="B215" s="26"/>
      <c r="C215" s="6" t="s">
        <v>388</v>
      </c>
      <c r="D215" s="4" t="s">
        <v>389</v>
      </c>
      <c r="E215" s="5">
        <f>0</f>
        <v>0</v>
      </c>
      <c r="F215" s="5">
        <f>0</f>
        <v>0</v>
      </c>
      <c r="G215" s="5" t="s">
        <v>42</v>
      </c>
      <c r="H215" s="58">
        <f>0</f>
        <v>0</v>
      </c>
    </row>
    <row r="216" spans="1:8" ht="22.5" customHeight="1" x14ac:dyDescent="0.2">
      <c r="A216" s="27"/>
      <c r="B216" s="26"/>
      <c r="C216" s="16" t="s">
        <v>79</v>
      </c>
      <c r="D216" s="16" t="s">
        <v>390</v>
      </c>
      <c r="E216" s="17">
        <f>E217</f>
        <v>2226.48</v>
      </c>
      <c r="F216" s="17">
        <f>F217</f>
        <v>1296.3900000000001</v>
      </c>
      <c r="G216" s="17" t="s">
        <v>391</v>
      </c>
      <c r="H216" s="57">
        <f>H217</f>
        <v>1296.3900000000001</v>
      </c>
    </row>
    <row r="217" spans="1:8" ht="22.5" customHeight="1" x14ac:dyDescent="0.2">
      <c r="A217" s="27"/>
      <c r="B217" s="26"/>
      <c r="C217" s="4" t="s">
        <v>53</v>
      </c>
      <c r="D217" s="4" t="s">
        <v>392</v>
      </c>
      <c r="E217" s="5">
        <f>E218+E219+E220+E221+E222+E223+E224+E225+E226+E227+E228</f>
        <v>2226.48</v>
      </c>
      <c r="F217" s="5">
        <f>F218+F219+F220+F221+F222+F223+F224+F225+F226+F227+F228</f>
        <v>1296.3900000000001</v>
      </c>
      <c r="G217" s="5" t="s">
        <v>391</v>
      </c>
      <c r="H217" s="58">
        <f>H218+H219+H220+H221+H222+H223+H224+H225+H226+H227+H228</f>
        <v>1296.3900000000001</v>
      </c>
    </row>
    <row r="218" spans="1:8" ht="22.5" customHeight="1" x14ac:dyDescent="0.2">
      <c r="A218" s="27"/>
      <c r="B218" s="26"/>
      <c r="C218" s="6" t="s">
        <v>55</v>
      </c>
      <c r="D218" s="4" t="s">
        <v>393</v>
      </c>
      <c r="E218" s="5">
        <f>0</f>
        <v>0</v>
      </c>
      <c r="F218" s="5">
        <f>0</f>
        <v>0</v>
      </c>
      <c r="G218" s="5" t="s">
        <v>42</v>
      </c>
      <c r="H218" s="58">
        <f>0</f>
        <v>0</v>
      </c>
    </row>
    <row r="219" spans="1:8" ht="22.5" customHeight="1" x14ac:dyDescent="0.2">
      <c r="A219" s="27"/>
      <c r="B219" s="26"/>
      <c r="C219" s="6" t="s">
        <v>70</v>
      </c>
      <c r="D219" s="4" t="s">
        <v>394</v>
      </c>
      <c r="E219" s="5">
        <f>93.95</f>
        <v>93.95</v>
      </c>
      <c r="F219" s="5">
        <f>17.88</f>
        <v>17.88</v>
      </c>
      <c r="G219" s="5" t="s">
        <v>395</v>
      </c>
      <c r="H219" s="58">
        <f>17.88</f>
        <v>17.88</v>
      </c>
    </row>
    <row r="220" spans="1:8" ht="22.5" customHeight="1" x14ac:dyDescent="0.2">
      <c r="A220" s="27"/>
      <c r="B220" s="26"/>
      <c r="C220" s="6" t="s">
        <v>73</v>
      </c>
      <c r="D220" s="4" t="s">
        <v>396</v>
      </c>
      <c r="E220" s="5">
        <f>0</f>
        <v>0</v>
      </c>
      <c r="F220" s="5">
        <f>0</f>
        <v>0</v>
      </c>
      <c r="G220" s="5" t="s">
        <v>42</v>
      </c>
      <c r="H220" s="58">
        <f>0</f>
        <v>0</v>
      </c>
    </row>
    <row r="221" spans="1:8" ht="22.5" customHeight="1" x14ac:dyDescent="0.2">
      <c r="A221" s="27"/>
      <c r="B221" s="26"/>
      <c r="C221" s="6" t="s">
        <v>57</v>
      </c>
      <c r="D221" s="4" t="s">
        <v>397</v>
      </c>
      <c r="E221" s="5">
        <f>81.27</f>
        <v>81.27</v>
      </c>
      <c r="F221" s="5">
        <f>81.2</f>
        <v>81.2</v>
      </c>
      <c r="G221" s="5" t="s">
        <v>398</v>
      </c>
      <c r="H221" s="58">
        <f>81.2</f>
        <v>81.2</v>
      </c>
    </row>
    <row r="222" spans="1:8" ht="22.5" customHeight="1" x14ac:dyDescent="0.2">
      <c r="A222" s="27"/>
      <c r="B222" s="26"/>
      <c r="C222" s="6" t="s">
        <v>399</v>
      </c>
      <c r="D222" s="4" t="s">
        <v>400</v>
      </c>
      <c r="E222" s="5">
        <f>1072.7</f>
        <v>1072.7</v>
      </c>
      <c r="F222" s="5">
        <f>682.47</f>
        <v>682.47</v>
      </c>
      <c r="G222" s="5" t="s">
        <v>258</v>
      </c>
      <c r="H222" s="58">
        <f>682.47</f>
        <v>682.47</v>
      </c>
    </row>
    <row r="223" spans="1:8" ht="22.5" customHeight="1" x14ac:dyDescent="0.2">
      <c r="A223" s="27"/>
      <c r="B223" s="26"/>
      <c r="C223" s="6" t="s">
        <v>401</v>
      </c>
      <c r="D223" s="4" t="s">
        <v>402</v>
      </c>
      <c r="E223" s="5">
        <f>0</f>
        <v>0</v>
      </c>
      <c r="F223" s="5">
        <f>0</f>
        <v>0</v>
      </c>
      <c r="G223" s="5" t="s">
        <v>42</v>
      </c>
      <c r="H223" s="58">
        <f>0</f>
        <v>0</v>
      </c>
    </row>
    <row r="224" spans="1:8" ht="22.5" customHeight="1" x14ac:dyDescent="0.2">
      <c r="A224" s="27"/>
      <c r="B224" s="26"/>
      <c r="C224" s="6" t="s">
        <v>129</v>
      </c>
      <c r="D224" s="4" t="s">
        <v>403</v>
      </c>
      <c r="E224" s="5">
        <f>18</f>
        <v>18</v>
      </c>
      <c r="F224" s="5">
        <f>0</f>
        <v>0</v>
      </c>
      <c r="G224" s="5" t="s">
        <v>9</v>
      </c>
      <c r="H224" s="58">
        <f>0</f>
        <v>0</v>
      </c>
    </row>
    <row r="225" spans="1:8" ht="22.5" customHeight="1" x14ac:dyDescent="0.2">
      <c r="A225" s="27"/>
      <c r="B225" s="26"/>
      <c r="C225" s="6" t="s">
        <v>132</v>
      </c>
      <c r="D225" s="4" t="s">
        <v>404</v>
      </c>
      <c r="E225" s="5">
        <f>526.16</f>
        <v>526.16</v>
      </c>
      <c r="F225" s="5">
        <f>350.77</f>
        <v>350.77</v>
      </c>
      <c r="G225" s="5" t="s">
        <v>47</v>
      </c>
      <c r="H225" s="58">
        <f>350.77</f>
        <v>350.77</v>
      </c>
    </row>
    <row r="226" spans="1:8" ht="22.5" customHeight="1" x14ac:dyDescent="0.2">
      <c r="A226" s="27"/>
      <c r="B226" s="26"/>
      <c r="C226" s="6" t="s">
        <v>135</v>
      </c>
      <c r="D226" s="4" t="s">
        <v>405</v>
      </c>
      <c r="E226" s="5">
        <f>434.4</f>
        <v>434.4</v>
      </c>
      <c r="F226" s="5">
        <f>164.07</f>
        <v>164.07</v>
      </c>
      <c r="G226" s="5" t="s">
        <v>406</v>
      </c>
      <c r="H226" s="58">
        <f>164.07</f>
        <v>164.07</v>
      </c>
    </row>
    <row r="227" spans="1:8" ht="22.5" customHeight="1" x14ac:dyDescent="0.2">
      <c r="A227" s="27"/>
      <c r="B227" s="26"/>
      <c r="C227" s="6" t="s">
        <v>141</v>
      </c>
      <c r="D227" s="4" t="s">
        <v>407</v>
      </c>
      <c r="E227" s="5">
        <f>0</f>
        <v>0</v>
      </c>
      <c r="F227" s="5">
        <f>0</f>
        <v>0</v>
      </c>
      <c r="G227" s="5" t="s">
        <v>42</v>
      </c>
      <c r="H227" s="58">
        <f>0</f>
        <v>0</v>
      </c>
    </row>
    <row r="228" spans="1:8" ht="22.5" customHeight="1" x14ac:dyDescent="0.2">
      <c r="A228" s="27"/>
      <c r="B228" s="26"/>
      <c r="C228" s="6" t="s">
        <v>144</v>
      </c>
      <c r="D228" s="4" t="s">
        <v>408</v>
      </c>
      <c r="E228" s="5">
        <f>0</f>
        <v>0</v>
      </c>
      <c r="F228" s="5">
        <f>0</f>
        <v>0</v>
      </c>
      <c r="G228" s="5" t="s">
        <v>42</v>
      </c>
      <c r="H228" s="58">
        <f>0</f>
        <v>0</v>
      </c>
    </row>
    <row r="229" spans="1:8" ht="22.5" customHeight="1" x14ac:dyDescent="0.2">
      <c r="A229" s="27"/>
      <c r="B229" s="26"/>
      <c r="C229" s="16" t="s">
        <v>36</v>
      </c>
      <c r="D229" s="16" t="s">
        <v>409</v>
      </c>
      <c r="E229" s="17">
        <f>E230</f>
        <v>18.2</v>
      </c>
      <c r="F229" s="17">
        <f>F230</f>
        <v>0</v>
      </c>
      <c r="G229" s="5" t="s">
        <v>9</v>
      </c>
      <c r="H229" s="57">
        <f>H230</f>
        <v>0</v>
      </c>
    </row>
    <row r="230" spans="1:8" ht="22.5" customHeight="1" x14ac:dyDescent="0.2">
      <c r="A230" s="27"/>
      <c r="B230" s="26"/>
      <c r="C230" s="4" t="s">
        <v>53</v>
      </c>
      <c r="D230" s="4" t="s">
        <v>410</v>
      </c>
      <c r="E230" s="5">
        <f>E231+E232+E233</f>
        <v>18.2</v>
      </c>
      <c r="F230" s="5">
        <f>F231+F232+F233</f>
        <v>0</v>
      </c>
      <c r="G230" s="5" t="s">
        <v>9</v>
      </c>
      <c r="H230" s="58">
        <f>H231+H232+H233</f>
        <v>0</v>
      </c>
    </row>
    <row r="231" spans="1:8" ht="22.5" customHeight="1" x14ac:dyDescent="0.2">
      <c r="A231" s="27"/>
      <c r="B231" s="26"/>
      <c r="C231" s="6" t="s">
        <v>55</v>
      </c>
      <c r="D231" s="4" t="s">
        <v>411</v>
      </c>
      <c r="E231" s="5">
        <f>18.2</f>
        <v>18.2</v>
      </c>
      <c r="F231" s="5">
        <f>0</f>
        <v>0</v>
      </c>
      <c r="G231" s="5" t="s">
        <v>9</v>
      </c>
      <c r="H231" s="58">
        <f>0</f>
        <v>0</v>
      </c>
    </row>
    <row r="232" spans="1:8" ht="22.5" customHeight="1" x14ac:dyDescent="0.2">
      <c r="A232" s="27"/>
      <c r="B232" s="26"/>
      <c r="C232" s="6" t="s">
        <v>70</v>
      </c>
      <c r="D232" s="4" t="s">
        <v>412</v>
      </c>
      <c r="E232" s="5">
        <f>0</f>
        <v>0</v>
      </c>
      <c r="F232" s="5">
        <f>0</f>
        <v>0</v>
      </c>
      <c r="G232" s="5" t="s">
        <v>42</v>
      </c>
      <c r="H232" s="58">
        <f>0</f>
        <v>0</v>
      </c>
    </row>
    <row r="233" spans="1:8" ht="22.5" customHeight="1" x14ac:dyDescent="0.2">
      <c r="A233" s="27"/>
      <c r="B233" s="26"/>
      <c r="C233" s="6" t="s">
        <v>73</v>
      </c>
      <c r="D233" s="4" t="s">
        <v>413</v>
      </c>
      <c r="E233" s="5">
        <f>0</f>
        <v>0</v>
      </c>
      <c r="F233" s="5">
        <f>0</f>
        <v>0</v>
      </c>
      <c r="G233" s="5" t="s">
        <v>42</v>
      </c>
      <c r="H233" s="58">
        <f>0</f>
        <v>0</v>
      </c>
    </row>
    <row r="234" spans="1:8" ht="22.5" customHeight="1" x14ac:dyDescent="0.2">
      <c r="A234" s="27"/>
      <c r="B234" s="26"/>
      <c r="C234" s="16" t="s">
        <v>103</v>
      </c>
      <c r="D234" s="16" t="s">
        <v>119</v>
      </c>
      <c r="E234" s="17">
        <f>E235</f>
        <v>32392.33</v>
      </c>
      <c r="F234" s="17">
        <f>F235</f>
        <v>23257.57</v>
      </c>
      <c r="G234" s="17" t="s">
        <v>414</v>
      </c>
      <c r="H234" s="57">
        <f>H235</f>
        <v>23257.57</v>
      </c>
    </row>
    <row r="235" spans="1:8" ht="22.5" customHeight="1" x14ac:dyDescent="0.2">
      <c r="A235" s="27"/>
      <c r="B235" s="26"/>
      <c r="C235" s="4" t="s">
        <v>53</v>
      </c>
      <c r="D235" s="4" t="s">
        <v>121</v>
      </c>
      <c r="E235" s="5">
        <f>E236</f>
        <v>32392.33</v>
      </c>
      <c r="F235" s="5">
        <f>F236</f>
        <v>23257.57</v>
      </c>
      <c r="G235" s="5" t="s">
        <v>414</v>
      </c>
      <c r="H235" s="58">
        <f>H236</f>
        <v>23257.57</v>
      </c>
    </row>
    <row r="236" spans="1:8" ht="22.5" customHeight="1" x14ac:dyDescent="0.2">
      <c r="A236" s="27"/>
      <c r="B236" s="26"/>
      <c r="C236" s="6" t="s">
        <v>55</v>
      </c>
      <c r="D236" s="4" t="s">
        <v>415</v>
      </c>
      <c r="E236" s="5">
        <f>32392.33</f>
        <v>32392.33</v>
      </c>
      <c r="F236" s="5">
        <f>23257.57</f>
        <v>23257.57</v>
      </c>
      <c r="G236" s="5" t="s">
        <v>414</v>
      </c>
      <c r="H236" s="58">
        <f>23257.57</f>
        <v>23257.57</v>
      </c>
    </row>
    <row r="237" spans="1:8" ht="22.5" customHeight="1" thickBot="1" x14ac:dyDescent="0.25">
      <c r="A237" s="74" t="s">
        <v>6</v>
      </c>
      <c r="B237" s="75"/>
      <c r="C237" s="75"/>
      <c r="D237" s="75"/>
      <c r="E237" s="69">
        <f>E162+E192+E204+E216+E229+E234</f>
        <v>107981.67</v>
      </c>
      <c r="F237" s="63">
        <f>F162+F192+F204+F216+F229+F234</f>
        <v>46421.69</v>
      </c>
      <c r="G237" s="70" t="s">
        <v>416</v>
      </c>
      <c r="H237" s="65">
        <f>H162+H192+H204+H216+H229+H234</f>
        <v>46421.69</v>
      </c>
    </row>
    <row r="238" spans="1:8" ht="22.5" customHeight="1" x14ac:dyDescent="0.2">
      <c r="A238" s="41">
        <v>9</v>
      </c>
      <c r="B238" s="42" t="s">
        <v>15</v>
      </c>
      <c r="C238" s="16" t="s">
        <v>30</v>
      </c>
      <c r="D238" s="16" t="s">
        <v>417</v>
      </c>
      <c r="E238" s="17">
        <f>E239+E240</f>
        <v>0</v>
      </c>
      <c r="F238" s="17">
        <f>F239+F240</f>
        <v>0</v>
      </c>
      <c r="G238" s="17" t="s">
        <v>42</v>
      </c>
      <c r="H238" s="57">
        <f>H239+H240</f>
        <v>0</v>
      </c>
    </row>
    <row r="239" spans="1:8" ht="22.5" customHeight="1" x14ac:dyDescent="0.2">
      <c r="A239" s="32"/>
      <c r="B239" s="26"/>
      <c r="C239" s="4" t="s">
        <v>53</v>
      </c>
      <c r="D239" s="4" t="s">
        <v>418</v>
      </c>
      <c r="E239" s="5">
        <f>0</f>
        <v>0</v>
      </c>
      <c r="F239" s="5">
        <f>0</f>
        <v>0</v>
      </c>
      <c r="G239" s="5" t="s">
        <v>42</v>
      </c>
      <c r="H239" s="58">
        <f>0</f>
        <v>0</v>
      </c>
    </row>
    <row r="240" spans="1:8" ht="22.5" customHeight="1" x14ac:dyDescent="0.2">
      <c r="A240" s="32"/>
      <c r="B240" s="26"/>
      <c r="C240" s="4" t="s">
        <v>59</v>
      </c>
      <c r="D240" s="4" t="s">
        <v>419</v>
      </c>
      <c r="E240" s="5">
        <f>0</f>
        <v>0</v>
      </c>
      <c r="F240" s="5">
        <f>0</f>
        <v>0</v>
      </c>
      <c r="G240" s="5" t="s">
        <v>42</v>
      </c>
      <c r="H240" s="58">
        <f>0</f>
        <v>0</v>
      </c>
    </row>
    <row r="241" spans="1:8" ht="22.5" customHeight="1" x14ac:dyDescent="0.2">
      <c r="A241" s="32"/>
      <c r="B241" s="26"/>
      <c r="C241" s="16" t="s">
        <v>50</v>
      </c>
      <c r="D241" s="16" t="s">
        <v>420</v>
      </c>
      <c r="E241" s="17">
        <f>E242</f>
        <v>10969.68</v>
      </c>
      <c r="F241" s="17">
        <f>F242</f>
        <v>10969.449999999999</v>
      </c>
      <c r="G241" s="19" t="s">
        <v>75</v>
      </c>
      <c r="H241" s="57">
        <f>H242</f>
        <v>10969.449999999999</v>
      </c>
    </row>
    <row r="242" spans="1:8" ht="22.5" customHeight="1" x14ac:dyDescent="0.2">
      <c r="A242" s="32"/>
      <c r="B242" s="26"/>
      <c r="C242" s="4" t="s">
        <v>53</v>
      </c>
      <c r="D242" s="4" t="s">
        <v>421</v>
      </c>
      <c r="E242" s="5">
        <f>E243</f>
        <v>10969.68</v>
      </c>
      <c r="F242" s="5">
        <f>F243</f>
        <v>10969.449999999999</v>
      </c>
      <c r="G242" s="5" t="s">
        <v>75</v>
      </c>
      <c r="H242" s="58">
        <f>H243</f>
        <v>10969.449999999999</v>
      </c>
    </row>
    <row r="243" spans="1:8" ht="22.5" customHeight="1" x14ac:dyDescent="0.2">
      <c r="A243" s="32"/>
      <c r="B243" s="26"/>
      <c r="C243" s="6" t="s">
        <v>55</v>
      </c>
      <c r="D243" s="4" t="s">
        <v>422</v>
      </c>
      <c r="E243" s="5">
        <f>984.3+380.2+984.3+8620.88</f>
        <v>10969.68</v>
      </c>
      <c r="F243" s="5">
        <f>984.21+380.14+984.22+8620.88</f>
        <v>10969.449999999999</v>
      </c>
      <c r="G243" s="5" t="s">
        <v>75</v>
      </c>
      <c r="H243" s="58">
        <f>984.21+380.14+984.22+8620.88</f>
        <v>10969.449999999999</v>
      </c>
    </row>
    <row r="244" spans="1:8" ht="40.5" customHeight="1" x14ac:dyDescent="0.2">
      <c r="A244" s="32"/>
      <c r="B244" s="26"/>
      <c r="C244" s="16" t="s">
        <v>64</v>
      </c>
      <c r="D244" s="16" t="s">
        <v>423</v>
      </c>
      <c r="E244" s="17">
        <f>E245</f>
        <v>73358</v>
      </c>
      <c r="F244" s="17">
        <f>F245</f>
        <v>51723.43</v>
      </c>
      <c r="G244" s="17" t="s">
        <v>424</v>
      </c>
      <c r="H244" s="57">
        <f>H245</f>
        <v>51723.43</v>
      </c>
    </row>
    <row r="245" spans="1:8" ht="22.5" customHeight="1" x14ac:dyDescent="0.2">
      <c r="A245" s="32"/>
      <c r="B245" s="26"/>
      <c r="C245" s="4" t="s">
        <v>53</v>
      </c>
      <c r="D245" s="4" t="s">
        <v>425</v>
      </c>
      <c r="E245" s="5">
        <f>E246</f>
        <v>73358</v>
      </c>
      <c r="F245" s="5">
        <f>F246</f>
        <v>51723.43</v>
      </c>
      <c r="G245" s="5" t="s">
        <v>424</v>
      </c>
      <c r="H245" s="58">
        <f>H246</f>
        <v>51723.43</v>
      </c>
    </row>
    <row r="246" spans="1:8" ht="22.5" customHeight="1" x14ac:dyDescent="0.2">
      <c r="A246" s="32"/>
      <c r="B246" s="26"/>
      <c r="C246" s="6" t="s">
        <v>55</v>
      </c>
      <c r="D246" s="4" t="s">
        <v>426</v>
      </c>
      <c r="E246" s="5">
        <f>7920+12582.22+52855.78</f>
        <v>73358</v>
      </c>
      <c r="F246" s="5">
        <f>1933.24+12581.93+37208.26</f>
        <v>51723.43</v>
      </c>
      <c r="G246" s="5" t="s">
        <v>424</v>
      </c>
      <c r="H246" s="58">
        <f>1933.24+12581.93+37208.26</f>
        <v>51723.43</v>
      </c>
    </row>
    <row r="247" spans="1:8" ht="22.5" customHeight="1" x14ac:dyDescent="0.2">
      <c r="A247" s="32"/>
      <c r="B247" s="26"/>
      <c r="C247" s="16" t="s">
        <v>103</v>
      </c>
      <c r="D247" s="16" t="s">
        <v>427</v>
      </c>
      <c r="E247" s="17">
        <f>E248</f>
        <v>0</v>
      </c>
      <c r="F247" s="17">
        <f>F248</f>
        <v>0</v>
      </c>
      <c r="G247" s="17" t="s">
        <v>42</v>
      </c>
      <c r="H247" s="57">
        <f>H248</f>
        <v>0</v>
      </c>
    </row>
    <row r="248" spans="1:8" ht="22.5" customHeight="1" x14ac:dyDescent="0.2">
      <c r="A248" s="32"/>
      <c r="B248" s="26"/>
      <c r="C248" s="4" t="s">
        <v>53</v>
      </c>
      <c r="D248" s="4" t="s">
        <v>428</v>
      </c>
      <c r="E248" s="5">
        <f>0</f>
        <v>0</v>
      </c>
      <c r="F248" s="5">
        <f>0</f>
        <v>0</v>
      </c>
      <c r="G248" s="5" t="s">
        <v>42</v>
      </c>
      <c r="H248" s="58">
        <f>0</f>
        <v>0</v>
      </c>
    </row>
    <row r="249" spans="1:8" ht="22.5" customHeight="1" x14ac:dyDescent="0.2">
      <c r="A249" s="32"/>
      <c r="B249" s="26"/>
      <c r="C249" s="16" t="s">
        <v>252</v>
      </c>
      <c r="D249" s="16" t="s">
        <v>429</v>
      </c>
      <c r="E249" s="17">
        <f>E250</f>
        <v>13529</v>
      </c>
      <c r="F249" s="17">
        <f>F250</f>
        <v>13527.95</v>
      </c>
      <c r="G249" s="17" t="s">
        <v>75</v>
      </c>
      <c r="H249" s="57">
        <f>H250</f>
        <v>13527.95</v>
      </c>
    </row>
    <row r="250" spans="1:8" ht="22.5" customHeight="1" x14ac:dyDescent="0.2">
      <c r="A250" s="32"/>
      <c r="B250" s="26"/>
      <c r="C250" s="4" t="s">
        <v>53</v>
      </c>
      <c r="D250" s="4" t="s">
        <v>430</v>
      </c>
      <c r="E250" s="5">
        <f>E251</f>
        <v>13529</v>
      </c>
      <c r="F250" s="5">
        <f>F251</f>
        <v>13527.95</v>
      </c>
      <c r="G250" s="5" t="s">
        <v>75</v>
      </c>
      <c r="H250" s="58">
        <f>H251</f>
        <v>13527.95</v>
      </c>
    </row>
    <row r="251" spans="1:8" ht="22.5" customHeight="1" x14ac:dyDescent="0.2">
      <c r="A251" s="32"/>
      <c r="B251" s="26"/>
      <c r="C251" s="6" t="s">
        <v>55</v>
      </c>
      <c r="D251" s="4" t="s">
        <v>431</v>
      </c>
      <c r="E251" s="5">
        <f>136+13393</f>
        <v>13529</v>
      </c>
      <c r="F251" s="5">
        <f>135.28+13392.67</f>
        <v>13527.95</v>
      </c>
      <c r="G251" s="5" t="s">
        <v>75</v>
      </c>
      <c r="H251" s="58">
        <f>135.28+13392.67</f>
        <v>13527.95</v>
      </c>
    </row>
    <row r="252" spans="1:8" ht="22.5" customHeight="1" thickBot="1" x14ac:dyDescent="0.25">
      <c r="A252" s="76" t="s">
        <v>6</v>
      </c>
      <c r="B252" s="77"/>
      <c r="C252" s="77"/>
      <c r="D252" s="78"/>
      <c r="E252" s="69">
        <f>E238+E241+E244+E247+E249</f>
        <v>97856.68</v>
      </c>
      <c r="F252" s="63">
        <f>F238+F241+F244+F247+F249</f>
        <v>76220.83</v>
      </c>
      <c r="G252" s="63" t="s">
        <v>432</v>
      </c>
      <c r="H252" s="65">
        <f>H238+H241+H244+H247+H249</f>
        <v>76220.83</v>
      </c>
    </row>
    <row r="253" spans="1:8" ht="22.5" customHeight="1" x14ac:dyDescent="0.2">
      <c r="A253" s="32">
        <v>10</v>
      </c>
      <c r="B253" s="26" t="s">
        <v>16</v>
      </c>
      <c r="C253" s="16" t="s">
        <v>30</v>
      </c>
      <c r="D253" s="16" t="s">
        <v>433</v>
      </c>
      <c r="E253" s="17">
        <f>E254</f>
        <v>0</v>
      </c>
      <c r="F253" s="17">
        <f>F254</f>
        <v>0</v>
      </c>
      <c r="G253" s="17" t="s">
        <v>42</v>
      </c>
      <c r="H253" s="57">
        <f>H254</f>
        <v>0</v>
      </c>
    </row>
    <row r="254" spans="1:8" ht="22.5" customHeight="1" x14ac:dyDescent="0.2">
      <c r="A254" s="32"/>
      <c r="B254" s="26"/>
      <c r="C254" s="4" t="s">
        <v>32</v>
      </c>
      <c r="D254" s="4" t="s">
        <v>434</v>
      </c>
      <c r="E254" s="5">
        <f>0</f>
        <v>0</v>
      </c>
      <c r="F254" s="5">
        <f>0</f>
        <v>0</v>
      </c>
      <c r="G254" s="5" t="s">
        <v>42</v>
      </c>
      <c r="H254" s="58">
        <f>0</f>
        <v>0</v>
      </c>
    </row>
    <row r="255" spans="1:8" ht="22.5" customHeight="1" x14ac:dyDescent="0.2">
      <c r="A255" s="32"/>
      <c r="B255" s="26"/>
      <c r="C255" s="16" t="s">
        <v>64</v>
      </c>
      <c r="D255" s="16" t="s">
        <v>435</v>
      </c>
      <c r="E255" s="17">
        <f>E256+E258</f>
        <v>20000</v>
      </c>
      <c r="F255" s="17">
        <f>F256+F258</f>
        <v>0</v>
      </c>
      <c r="G255" s="17" t="s">
        <v>9</v>
      </c>
      <c r="H255" s="57">
        <f>H256+H258</f>
        <v>0</v>
      </c>
    </row>
    <row r="256" spans="1:8" ht="22.5" customHeight="1" x14ac:dyDescent="0.2">
      <c r="A256" s="32"/>
      <c r="B256" s="26"/>
      <c r="C256" s="4" t="s">
        <v>53</v>
      </c>
      <c r="D256" s="4" t="s">
        <v>436</v>
      </c>
      <c r="E256" s="5">
        <f>E257</f>
        <v>20000</v>
      </c>
      <c r="F256" s="5">
        <f>F257</f>
        <v>0</v>
      </c>
      <c r="G256" s="5" t="s">
        <v>9</v>
      </c>
      <c r="H256" s="58">
        <f>H257</f>
        <v>0</v>
      </c>
    </row>
    <row r="257" spans="1:8" ht="22.5" customHeight="1" x14ac:dyDescent="0.2">
      <c r="A257" s="32"/>
      <c r="B257" s="26"/>
      <c r="C257" s="6" t="s">
        <v>55</v>
      </c>
      <c r="D257" s="4" t="s">
        <v>437</v>
      </c>
      <c r="E257" s="5">
        <f>4620+15380</f>
        <v>20000</v>
      </c>
      <c r="F257" s="5">
        <f>0</f>
        <v>0</v>
      </c>
      <c r="G257" s="5" t="s">
        <v>9</v>
      </c>
      <c r="H257" s="58">
        <f>0</f>
        <v>0</v>
      </c>
    </row>
    <row r="258" spans="1:8" ht="22.5" customHeight="1" x14ac:dyDescent="0.2">
      <c r="A258" s="32"/>
      <c r="B258" s="26"/>
      <c r="C258" s="4" t="s">
        <v>91</v>
      </c>
      <c r="D258" s="4" t="s">
        <v>438</v>
      </c>
      <c r="E258" s="5">
        <f>0</f>
        <v>0</v>
      </c>
      <c r="F258" s="5">
        <f>0</f>
        <v>0</v>
      </c>
      <c r="G258" s="5" t="s">
        <v>42</v>
      </c>
      <c r="H258" s="58">
        <f>0</f>
        <v>0</v>
      </c>
    </row>
    <row r="259" spans="1:8" ht="22.5" customHeight="1" x14ac:dyDescent="0.2">
      <c r="A259" s="32"/>
      <c r="B259" s="26"/>
      <c r="C259" s="16" t="s">
        <v>36</v>
      </c>
      <c r="D259" s="16" t="s">
        <v>439</v>
      </c>
      <c r="E259" s="17">
        <f>E260</f>
        <v>5385.34</v>
      </c>
      <c r="F259" s="17">
        <f>F260</f>
        <v>3762.6</v>
      </c>
      <c r="G259" s="17" t="s">
        <v>276</v>
      </c>
      <c r="H259" s="57">
        <f>H260</f>
        <v>3762.6</v>
      </c>
    </row>
    <row r="260" spans="1:8" ht="22.5" customHeight="1" x14ac:dyDescent="0.2">
      <c r="A260" s="32"/>
      <c r="B260" s="26"/>
      <c r="C260" s="4" t="s">
        <v>32</v>
      </c>
      <c r="D260" s="4" t="s">
        <v>440</v>
      </c>
      <c r="E260" s="5">
        <f>E261+E262</f>
        <v>5385.34</v>
      </c>
      <c r="F260" s="5">
        <f>F261+F262</f>
        <v>3762.6</v>
      </c>
      <c r="G260" s="5" t="s">
        <v>276</v>
      </c>
      <c r="H260" s="58">
        <f>H261+H262</f>
        <v>3762.6</v>
      </c>
    </row>
    <row r="261" spans="1:8" ht="22.5" customHeight="1" x14ac:dyDescent="0.2">
      <c r="A261" s="32"/>
      <c r="B261" s="26"/>
      <c r="C261" s="6" t="s">
        <v>34</v>
      </c>
      <c r="D261" s="4" t="s">
        <v>441</v>
      </c>
      <c r="E261" s="5">
        <f>0</f>
        <v>0</v>
      </c>
      <c r="F261" s="5">
        <f>0</f>
        <v>0</v>
      </c>
      <c r="G261" s="5" t="s">
        <v>42</v>
      </c>
      <c r="H261" s="58">
        <f>0</f>
        <v>0</v>
      </c>
    </row>
    <row r="262" spans="1:8" ht="22.5" customHeight="1" x14ac:dyDescent="0.2">
      <c r="A262" s="32"/>
      <c r="B262" s="26"/>
      <c r="C262" s="6" t="s">
        <v>35</v>
      </c>
      <c r="D262" s="4" t="s">
        <v>442</v>
      </c>
      <c r="E262" s="5">
        <f>5385.34</f>
        <v>5385.34</v>
      </c>
      <c r="F262" s="5">
        <f>3762.6</f>
        <v>3762.6</v>
      </c>
      <c r="G262" s="5" t="s">
        <v>276</v>
      </c>
      <c r="H262" s="58">
        <f>3762.6</f>
        <v>3762.6</v>
      </c>
    </row>
    <row r="263" spans="1:8" ht="22.5" customHeight="1" x14ac:dyDescent="0.2">
      <c r="A263" s="32"/>
      <c r="B263" s="26"/>
      <c r="C263" s="16" t="s">
        <v>118</v>
      </c>
      <c r="D263" s="16" t="s">
        <v>443</v>
      </c>
      <c r="E263" s="17">
        <f>E264</f>
        <v>515</v>
      </c>
      <c r="F263" s="17">
        <f>F264</f>
        <v>165.88</v>
      </c>
      <c r="G263" s="17" t="s">
        <v>444</v>
      </c>
      <c r="H263" s="57">
        <f>H264</f>
        <v>165.88</v>
      </c>
    </row>
    <row r="264" spans="1:8" ht="22.5" customHeight="1" x14ac:dyDescent="0.2">
      <c r="A264" s="32"/>
      <c r="B264" s="26"/>
      <c r="C264" s="4" t="s">
        <v>32</v>
      </c>
      <c r="D264" s="4" t="s">
        <v>445</v>
      </c>
      <c r="E264" s="5">
        <f>E265</f>
        <v>515</v>
      </c>
      <c r="F264" s="5">
        <f>F265</f>
        <v>165.88</v>
      </c>
      <c r="G264" s="5" t="s">
        <v>444</v>
      </c>
      <c r="H264" s="58">
        <f>H265</f>
        <v>165.88</v>
      </c>
    </row>
    <row r="265" spans="1:8" ht="22.5" customHeight="1" x14ac:dyDescent="0.2">
      <c r="A265" s="32"/>
      <c r="B265" s="26"/>
      <c r="C265" s="4" t="s">
        <v>446</v>
      </c>
      <c r="D265" s="4" t="s">
        <v>447</v>
      </c>
      <c r="E265" s="5">
        <f>515</f>
        <v>515</v>
      </c>
      <c r="F265" s="5">
        <f>165.88</f>
        <v>165.88</v>
      </c>
      <c r="G265" s="5" t="s">
        <v>444</v>
      </c>
      <c r="H265" s="58">
        <f>165.88</f>
        <v>165.88</v>
      </c>
    </row>
    <row r="266" spans="1:8" ht="22.5" customHeight="1" thickBot="1" x14ac:dyDescent="0.25">
      <c r="A266" s="76" t="s">
        <v>6</v>
      </c>
      <c r="B266" s="77"/>
      <c r="C266" s="77"/>
      <c r="D266" s="78"/>
      <c r="E266" s="69">
        <f>E253+E255+E259+E263</f>
        <v>25900.34</v>
      </c>
      <c r="F266" s="63">
        <f>F253+F255+F259+F263</f>
        <v>3928.48</v>
      </c>
      <c r="G266" s="73" t="s">
        <v>448</v>
      </c>
      <c r="H266" s="65">
        <f>H253+H255+H259+H263</f>
        <v>3928.48</v>
      </c>
    </row>
    <row r="267" spans="1:8" ht="22.5" customHeight="1" x14ac:dyDescent="0.2">
      <c r="A267" s="32">
        <v>11</v>
      </c>
      <c r="B267" s="26" t="s">
        <v>17</v>
      </c>
      <c r="C267" s="16" t="s">
        <v>30</v>
      </c>
      <c r="D267" s="16" t="s">
        <v>449</v>
      </c>
      <c r="E267" s="17">
        <f>E268+E269+E281+E282</f>
        <v>120498.8</v>
      </c>
      <c r="F267" s="17">
        <f>F268+F269+F281+F282</f>
        <v>92284.934160000004</v>
      </c>
      <c r="G267" s="17" t="s">
        <v>450</v>
      </c>
      <c r="H267" s="57">
        <f>H268+H269+H281+H282</f>
        <v>92284.934160000004</v>
      </c>
    </row>
    <row r="268" spans="1:8" ht="22.5" customHeight="1" x14ac:dyDescent="0.2">
      <c r="A268" s="32"/>
      <c r="B268" s="26"/>
      <c r="C268" s="4" t="s">
        <v>32</v>
      </c>
      <c r="D268" s="4" t="s">
        <v>451</v>
      </c>
      <c r="E268" s="5">
        <f>0</f>
        <v>0</v>
      </c>
      <c r="F268" s="5">
        <f>0</f>
        <v>0</v>
      </c>
      <c r="G268" s="5" t="s">
        <v>42</v>
      </c>
      <c r="H268" s="58">
        <f>0</f>
        <v>0</v>
      </c>
    </row>
    <row r="269" spans="1:8" ht="22.5" customHeight="1" x14ac:dyDescent="0.2">
      <c r="A269" s="32"/>
      <c r="B269" s="26"/>
      <c r="C269" s="4" t="s">
        <v>59</v>
      </c>
      <c r="D269" s="4" t="s">
        <v>452</v>
      </c>
      <c r="E269" s="5">
        <f>E270</f>
        <v>120498.8</v>
      </c>
      <c r="F269" s="5">
        <f>F270</f>
        <v>92284.934160000004</v>
      </c>
      <c r="G269" s="5" t="s">
        <v>450</v>
      </c>
      <c r="H269" s="58">
        <f>H270</f>
        <v>92284.934160000004</v>
      </c>
    </row>
    <row r="270" spans="1:8" ht="22.5" customHeight="1" x14ac:dyDescent="0.2">
      <c r="A270" s="32"/>
      <c r="B270" s="26"/>
      <c r="C270" s="6" t="s">
        <v>176</v>
      </c>
      <c r="D270" s="4" t="s">
        <v>453</v>
      </c>
      <c r="E270" s="5">
        <f>E271+E272+E273+E274+E275+E276+E277+E278+E279+E280</f>
        <v>120498.8</v>
      </c>
      <c r="F270" s="5">
        <f>F271+F272+F273+F274+F275+F276+F277+F278+F279+F280</f>
        <v>92284.934160000004</v>
      </c>
      <c r="G270" s="5" t="s">
        <v>450</v>
      </c>
      <c r="H270" s="58">
        <f>H271+H272+H273+H274+H275+H276+H277+H278+H279+H280</f>
        <v>92284.934160000004</v>
      </c>
    </row>
    <row r="271" spans="1:8" ht="22.5" customHeight="1" x14ac:dyDescent="0.2">
      <c r="A271" s="32"/>
      <c r="B271" s="26"/>
      <c r="C271" s="6" t="s">
        <v>454</v>
      </c>
      <c r="D271" s="4" t="s">
        <v>455</v>
      </c>
      <c r="E271" s="5">
        <f>8464.55+14750+11589.3</f>
        <v>34803.85</v>
      </c>
      <c r="F271" s="5">
        <f>1819.77446+7375+5794.64576</f>
        <v>14989.42022</v>
      </c>
      <c r="G271" s="5" t="s">
        <v>456</v>
      </c>
      <c r="H271" s="58">
        <f>1819.77446+7375+5794.64576</f>
        <v>14989.42022</v>
      </c>
    </row>
    <row r="272" spans="1:8" ht="22.5" customHeight="1" x14ac:dyDescent="0.2">
      <c r="A272" s="32"/>
      <c r="B272" s="26"/>
      <c r="C272" s="6" t="s">
        <v>457</v>
      </c>
      <c r="D272" s="4" t="s">
        <v>458</v>
      </c>
      <c r="E272" s="5">
        <f>6010.81+24360+19140.01</f>
        <v>49510.82</v>
      </c>
      <c r="F272" s="5">
        <f>5819.92281+23586.4013+18532.18176</f>
        <v>47938.505870000001</v>
      </c>
      <c r="G272" s="5" t="s">
        <v>459</v>
      </c>
      <c r="H272" s="58">
        <f>5819.92281+23586.4013+18532.18176</f>
        <v>47938.505870000001</v>
      </c>
    </row>
    <row r="273" spans="1:8" ht="22.5" customHeight="1" x14ac:dyDescent="0.2">
      <c r="A273" s="32"/>
      <c r="B273" s="26"/>
      <c r="C273" s="6" t="s">
        <v>460</v>
      </c>
      <c r="D273" s="4" t="s">
        <v>461</v>
      </c>
      <c r="E273" s="5">
        <f>1317.87+5340.9+4196.5</f>
        <v>10855.27</v>
      </c>
      <c r="F273" s="5">
        <f>1317.86216+5340.9+4196.42353</f>
        <v>10855.185689999998</v>
      </c>
      <c r="G273" s="5" t="s">
        <v>75</v>
      </c>
      <c r="H273" s="58">
        <f>1317.86216+5340.9+4196.42353</f>
        <v>10855.185689999998</v>
      </c>
    </row>
    <row r="274" spans="1:8" ht="22.5" customHeight="1" x14ac:dyDescent="0.2">
      <c r="A274" s="32"/>
      <c r="B274" s="26"/>
      <c r="C274" s="6" t="s">
        <v>462</v>
      </c>
      <c r="D274" s="4" t="s">
        <v>463</v>
      </c>
      <c r="E274" s="5">
        <f>3075.07+12462.1+9791.69</f>
        <v>25328.86</v>
      </c>
      <c r="F274" s="5">
        <f>2246.19388+9103.14996+7152.47854</f>
        <v>18501.822380000001</v>
      </c>
      <c r="G274" s="5" t="s">
        <v>464</v>
      </c>
      <c r="H274" s="58">
        <f>2246.19388+9103.14996+7152.47854</f>
        <v>18501.822380000001</v>
      </c>
    </row>
    <row r="275" spans="1:8" ht="22.5" customHeight="1" x14ac:dyDescent="0.2">
      <c r="A275" s="32"/>
      <c r="B275" s="26"/>
      <c r="C275" s="6" t="s">
        <v>465</v>
      </c>
      <c r="D275" s="4" t="s">
        <v>466</v>
      </c>
      <c r="E275" s="5">
        <f>0</f>
        <v>0</v>
      </c>
      <c r="F275" s="5">
        <f>0</f>
        <v>0</v>
      </c>
      <c r="G275" s="5" t="s">
        <v>42</v>
      </c>
      <c r="H275" s="58">
        <f>0</f>
        <v>0</v>
      </c>
    </row>
    <row r="276" spans="1:8" ht="22.5" customHeight="1" x14ac:dyDescent="0.2">
      <c r="A276" s="32"/>
      <c r="B276" s="26"/>
      <c r="C276" s="6" t="s">
        <v>467</v>
      </c>
      <c r="D276" s="4" t="s">
        <v>468</v>
      </c>
      <c r="E276" s="5">
        <f>0</f>
        <v>0</v>
      </c>
      <c r="F276" s="5">
        <f>0</f>
        <v>0</v>
      </c>
      <c r="G276" s="5" t="s">
        <v>42</v>
      </c>
      <c r="H276" s="58">
        <f>0</f>
        <v>0</v>
      </c>
    </row>
    <row r="277" spans="1:8" ht="22.5" customHeight="1" x14ac:dyDescent="0.2">
      <c r="A277" s="32"/>
      <c r="B277" s="26"/>
      <c r="C277" s="6" t="s">
        <v>469</v>
      </c>
      <c r="D277" s="4" t="s">
        <v>470</v>
      </c>
      <c r="E277" s="5">
        <f>0</f>
        <v>0</v>
      </c>
      <c r="F277" s="5">
        <f>0</f>
        <v>0</v>
      </c>
      <c r="G277" s="5" t="s">
        <v>42</v>
      </c>
      <c r="H277" s="58">
        <f>0</f>
        <v>0</v>
      </c>
    </row>
    <row r="278" spans="1:8" ht="22.5" customHeight="1" x14ac:dyDescent="0.2">
      <c r="A278" s="32"/>
      <c r="B278" s="26"/>
      <c r="C278" s="6" t="s">
        <v>471</v>
      </c>
      <c r="D278" s="4" t="s">
        <v>472</v>
      </c>
      <c r="E278" s="5">
        <f>0</f>
        <v>0</v>
      </c>
      <c r="F278" s="5">
        <f>0</f>
        <v>0</v>
      </c>
      <c r="G278" s="5" t="s">
        <v>42</v>
      </c>
      <c r="H278" s="58">
        <f>0</f>
        <v>0</v>
      </c>
    </row>
    <row r="279" spans="1:8" ht="22.5" customHeight="1" x14ac:dyDescent="0.2">
      <c r="A279" s="32"/>
      <c r="B279" s="26"/>
      <c r="C279" s="6" t="s">
        <v>473</v>
      </c>
      <c r="D279" s="4" t="s">
        <v>474</v>
      </c>
      <c r="E279" s="5">
        <f>0</f>
        <v>0</v>
      </c>
      <c r="F279" s="5">
        <f>0</f>
        <v>0</v>
      </c>
      <c r="G279" s="5" t="s">
        <v>42</v>
      </c>
      <c r="H279" s="58">
        <f>0</f>
        <v>0</v>
      </c>
    </row>
    <row r="280" spans="1:8" ht="22.5" customHeight="1" x14ac:dyDescent="0.2">
      <c r="A280" s="32"/>
      <c r="B280" s="26"/>
      <c r="C280" s="6" t="s">
        <v>475</v>
      </c>
      <c r="D280" s="4" t="s">
        <v>476</v>
      </c>
      <c r="E280" s="5">
        <f>0</f>
        <v>0</v>
      </c>
      <c r="F280" s="5">
        <f>0</f>
        <v>0</v>
      </c>
      <c r="G280" s="5" t="s">
        <v>42</v>
      </c>
      <c r="H280" s="58">
        <f>0</f>
        <v>0</v>
      </c>
    </row>
    <row r="281" spans="1:8" ht="22.5" customHeight="1" x14ac:dyDescent="0.2">
      <c r="A281" s="32"/>
      <c r="B281" s="26"/>
      <c r="C281" s="4" t="s">
        <v>91</v>
      </c>
      <c r="D281" s="4" t="s">
        <v>477</v>
      </c>
      <c r="E281" s="5">
        <f>0</f>
        <v>0</v>
      </c>
      <c r="F281" s="5">
        <f>0</f>
        <v>0</v>
      </c>
      <c r="G281" s="5" t="s">
        <v>42</v>
      </c>
      <c r="H281" s="58">
        <f>0</f>
        <v>0</v>
      </c>
    </row>
    <row r="282" spans="1:8" ht="22.5" customHeight="1" x14ac:dyDescent="0.2">
      <c r="A282" s="32"/>
      <c r="B282" s="26"/>
      <c r="C282" s="4" t="s">
        <v>478</v>
      </c>
      <c r="D282" s="4" t="s">
        <v>479</v>
      </c>
      <c r="E282" s="5">
        <f>0</f>
        <v>0</v>
      </c>
      <c r="F282" s="5">
        <f>0</f>
        <v>0</v>
      </c>
      <c r="G282" s="5" t="s">
        <v>42</v>
      </c>
      <c r="H282" s="58">
        <f>0</f>
        <v>0</v>
      </c>
    </row>
    <row r="283" spans="1:8" ht="22.5" customHeight="1" x14ac:dyDescent="0.2">
      <c r="A283" s="32"/>
      <c r="B283" s="26"/>
      <c r="C283" s="16" t="s">
        <v>50</v>
      </c>
      <c r="D283" s="16" t="s">
        <v>480</v>
      </c>
      <c r="E283" s="17">
        <f>E284+E285</f>
        <v>0</v>
      </c>
      <c r="F283" s="17">
        <f>F284+F285</f>
        <v>0</v>
      </c>
      <c r="G283" s="17" t="s">
        <v>42</v>
      </c>
      <c r="H283" s="57">
        <f>H284+H285</f>
        <v>0</v>
      </c>
    </row>
    <row r="284" spans="1:8" ht="22.5" customHeight="1" x14ac:dyDescent="0.2">
      <c r="A284" s="32"/>
      <c r="B284" s="26"/>
      <c r="C284" s="4" t="s">
        <v>481</v>
      </c>
      <c r="D284" s="4" t="s">
        <v>482</v>
      </c>
      <c r="E284" s="5">
        <f>0</f>
        <v>0</v>
      </c>
      <c r="F284" s="5">
        <f>0</f>
        <v>0</v>
      </c>
      <c r="G284" s="5" t="s">
        <v>42</v>
      </c>
      <c r="H284" s="58">
        <f>0</f>
        <v>0</v>
      </c>
    </row>
    <row r="285" spans="1:8" ht="22.5" customHeight="1" x14ac:dyDescent="0.2">
      <c r="A285" s="32"/>
      <c r="B285" s="26"/>
      <c r="C285" s="4" t="s">
        <v>483</v>
      </c>
      <c r="D285" s="4" t="s">
        <v>484</v>
      </c>
      <c r="E285" s="5">
        <f>0</f>
        <v>0</v>
      </c>
      <c r="F285" s="5">
        <f>0</f>
        <v>0</v>
      </c>
      <c r="G285" s="5" t="s">
        <v>42</v>
      </c>
      <c r="H285" s="58">
        <f>0</f>
        <v>0</v>
      </c>
    </row>
    <row r="286" spans="1:8" ht="22.5" customHeight="1" x14ac:dyDescent="0.2">
      <c r="A286" s="32"/>
      <c r="B286" s="26"/>
      <c r="C286" s="16" t="s">
        <v>64</v>
      </c>
      <c r="D286" s="16" t="s">
        <v>485</v>
      </c>
      <c r="E286" s="17">
        <f>E287</f>
        <v>6000</v>
      </c>
      <c r="F286" s="17">
        <f>F287</f>
        <v>5984.37</v>
      </c>
      <c r="G286" s="17" t="s">
        <v>225</v>
      </c>
      <c r="H286" s="57">
        <f>H287</f>
        <v>5984.37</v>
      </c>
    </row>
    <row r="287" spans="1:8" ht="22.5" customHeight="1" x14ac:dyDescent="0.2">
      <c r="A287" s="32"/>
      <c r="B287" s="26"/>
      <c r="C287" s="4" t="s">
        <v>32</v>
      </c>
      <c r="D287" s="4" t="s">
        <v>486</v>
      </c>
      <c r="E287" s="5">
        <f>E288+E289+E290</f>
        <v>6000</v>
      </c>
      <c r="F287" s="5">
        <f>F288+F289+F290</f>
        <v>5984.37</v>
      </c>
      <c r="G287" s="5" t="s">
        <v>225</v>
      </c>
      <c r="H287" s="58">
        <f>H288+H289+H290</f>
        <v>5984.37</v>
      </c>
    </row>
    <row r="288" spans="1:8" ht="22.5" customHeight="1" x14ac:dyDescent="0.2">
      <c r="A288" s="32"/>
      <c r="B288" s="26"/>
      <c r="C288" s="6" t="s">
        <v>34</v>
      </c>
      <c r="D288" s="4" t="s">
        <v>487</v>
      </c>
      <c r="E288" s="5">
        <f>6000</f>
        <v>6000</v>
      </c>
      <c r="F288" s="5">
        <f>5984.37</f>
        <v>5984.37</v>
      </c>
      <c r="G288" s="5" t="s">
        <v>225</v>
      </c>
      <c r="H288" s="58">
        <f>5984.37</f>
        <v>5984.37</v>
      </c>
    </row>
    <row r="289" spans="1:8" ht="22.5" customHeight="1" x14ac:dyDescent="0.2">
      <c r="A289" s="32"/>
      <c r="B289" s="26"/>
      <c r="C289" s="6" t="s">
        <v>43</v>
      </c>
      <c r="D289" s="4" t="s">
        <v>488</v>
      </c>
      <c r="E289" s="5">
        <f>0</f>
        <v>0</v>
      </c>
      <c r="F289" s="5">
        <f>0</f>
        <v>0</v>
      </c>
      <c r="G289" s="5" t="s">
        <v>42</v>
      </c>
      <c r="H289" s="58">
        <f>0</f>
        <v>0</v>
      </c>
    </row>
    <row r="290" spans="1:8" ht="22.5" customHeight="1" x14ac:dyDescent="0.2">
      <c r="A290" s="32"/>
      <c r="B290" s="26"/>
      <c r="C290" s="6" t="s">
        <v>45</v>
      </c>
      <c r="D290" s="4" t="s">
        <v>489</v>
      </c>
      <c r="E290" s="5">
        <f>0</f>
        <v>0</v>
      </c>
      <c r="F290" s="5">
        <f>0</f>
        <v>0</v>
      </c>
      <c r="G290" s="5" t="s">
        <v>42</v>
      </c>
      <c r="H290" s="58">
        <f>0</f>
        <v>0</v>
      </c>
    </row>
    <row r="291" spans="1:8" ht="22.5" customHeight="1" x14ac:dyDescent="0.2">
      <c r="A291" s="32"/>
      <c r="B291" s="26"/>
      <c r="C291" s="16" t="s">
        <v>79</v>
      </c>
      <c r="D291" s="16" t="s">
        <v>490</v>
      </c>
      <c r="E291" s="17">
        <f>E292+E293+E294+E295</f>
        <v>0</v>
      </c>
      <c r="F291" s="17">
        <f>F292+F293+F294+F295</f>
        <v>0</v>
      </c>
      <c r="G291" s="17" t="s">
        <v>42</v>
      </c>
      <c r="H291" s="57">
        <f>H292+H293+H294+H295</f>
        <v>0</v>
      </c>
    </row>
    <row r="292" spans="1:8" ht="22.5" customHeight="1" x14ac:dyDescent="0.2">
      <c r="A292" s="32"/>
      <c r="B292" s="26"/>
      <c r="C292" s="4" t="s">
        <v>53</v>
      </c>
      <c r="D292" s="4" t="s">
        <v>491</v>
      </c>
      <c r="E292" s="5">
        <f>0</f>
        <v>0</v>
      </c>
      <c r="F292" s="5">
        <f>0</f>
        <v>0</v>
      </c>
      <c r="G292" s="5" t="s">
        <v>42</v>
      </c>
      <c r="H292" s="58">
        <f>0</f>
        <v>0</v>
      </c>
    </row>
    <row r="293" spans="1:8" ht="22.5" customHeight="1" x14ac:dyDescent="0.2">
      <c r="A293" s="32"/>
      <c r="B293" s="26"/>
      <c r="C293" s="4" t="s">
        <v>492</v>
      </c>
      <c r="D293" s="4" t="s">
        <v>493</v>
      </c>
      <c r="E293" s="5">
        <f>0</f>
        <v>0</v>
      </c>
      <c r="F293" s="5">
        <f>0</f>
        <v>0</v>
      </c>
      <c r="G293" s="5" t="s">
        <v>42</v>
      </c>
      <c r="H293" s="58">
        <f>0</f>
        <v>0</v>
      </c>
    </row>
    <row r="294" spans="1:8" ht="22.5" customHeight="1" x14ac:dyDescent="0.2">
      <c r="A294" s="32"/>
      <c r="B294" s="26"/>
      <c r="C294" s="4" t="s">
        <v>483</v>
      </c>
      <c r="D294" s="4" t="s">
        <v>494</v>
      </c>
      <c r="E294" s="5">
        <f>0</f>
        <v>0</v>
      </c>
      <c r="F294" s="5">
        <f>0</f>
        <v>0</v>
      </c>
      <c r="G294" s="5" t="s">
        <v>42</v>
      </c>
      <c r="H294" s="58">
        <f>0</f>
        <v>0</v>
      </c>
    </row>
    <row r="295" spans="1:8" ht="22.5" customHeight="1" x14ac:dyDescent="0.2">
      <c r="A295" s="32"/>
      <c r="B295" s="26"/>
      <c r="C295" s="4" t="s">
        <v>495</v>
      </c>
      <c r="D295" s="4" t="s">
        <v>496</v>
      </c>
      <c r="E295" s="5">
        <f>0</f>
        <v>0</v>
      </c>
      <c r="F295" s="5">
        <f>0</f>
        <v>0</v>
      </c>
      <c r="G295" s="5" t="s">
        <v>42</v>
      </c>
      <c r="H295" s="58">
        <f>0</f>
        <v>0</v>
      </c>
    </row>
    <row r="296" spans="1:8" ht="22.5" customHeight="1" thickBot="1" x14ac:dyDescent="0.25">
      <c r="A296" s="76" t="s">
        <v>6</v>
      </c>
      <c r="B296" s="77"/>
      <c r="C296" s="77"/>
      <c r="D296" s="78"/>
      <c r="E296" s="69">
        <f>E267+E283+E286+E291</f>
        <v>126498.8</v>
      </c>
      <c r="F296" s="63">
        <f>F267+F283+F286+F291</f>
        <v>98269.30416</v>
      </c>
      <c r="G296" s="70" t="s">
        <v>497</v>
      </c>
      <c r="H296" s="65">
        <f>H267+H283+H286+H291</f>
        <v>98269.30416</v>
      </c>
    </row>
    <row r="297" spans="1:8" ht="22.5" customHeight="1" x14ac:dyDescent="0.2">
      <c r="A297" s="26">
        <v>12</v>
      </c>
      <c r="B297" s="26" t="s">
        <v>18</v>
      </c>
      <c r="C297" s="16" t="s">
        <v>30</v>
      </c>
      <c r="D297" s="16" t="s">
        <v>646</v>
      </c>
      <c r="E297" s="17">
        <f>E298+E302+E304</f>
        <v>61894.840000000004</v>
      </c>
      <c r="F297" s="17">
        <f>F298+F302+F304</f>
        <v>42620.577399999995</v>
      </c>
      <c r="G297" s="20" t="s">
        <v>647</v>
      </c>
      <c r="H297" s="57">
        <f>H298+H302+H304</f>
        <v>42620.577399999995</v>
      </c>
    </row>
    <row r="298" spans="1:8" ht="22.5" customHeight="1" x14ac:dyDescent="0.2">
      <c r="A298" s="26"/>
      <c r="B298" s="26"/>
      <c r="C298" s="4" t="s">
        <v>32</v>
      </c>
      <c r="D298" s="4" t="s">
        <v>648</v>
      </c>
      <c r="E298" s="5">
        <f>E299+E300+E301</f>
        <v>34170.730000000003</v>
      </c>
      <c r="F298" s="5">
        <f>F299+F300+F301</f>
        <v>23544.068639999998</v>
      </c>
      <c r="G298" s="5" t="s">
        <v>647</v>
      </c>
      <c r="H298" s="58">
        <f>H299+H300+H301</f>
        <v>23544.068639999998</v>
      </c>
    </row>
    <row r="299" spans="1:8" ht="22.5" customHeight="1" x14ac:dyDescent="0.2">
      <c r="A299" s="26"/>
      <c r="B299" s="26"/>
      <c r="C299" s="6" t="s">
        <v>34</v>
      </c>
      <c r="D299" s="4" t="s">
        <v>649</v>
      </c>
      <c r="E299" s="5">
        <f>3469.48</f>
        <v>3469.48</v>
      </c>
      <c r="F299" s="5">
        <f>2139.33085</f>
        <v>2139.3308499999998</v>
      </c>
      <c r="G299" s="5" t="s">
        <v>650</v>
      </c>
      <c r="H299" s="58">
        <f>2139.33085</f>
        <v>2139.3308499999998</v>
      </c>
    </row>
    <row r="300" spans="1:8" ht="22.5" customHeight="1" x14ac:dyDescent="0.2">
      <c r="A300" s="26"/>
      <c r="B300" s="26"/>
      <c r="C300" s="6" t="s">
        <v>35</v>
      </c>
      <c r="D300" s="4" t="s">
        <v>651</v>
      </c>
      <c r="E300" s="5">
        <f>30000</f>
        <v>30000</v>
      </c>
      <c r="F300" s="5">
        <f>21073.73779</f>
        <v>21073.737789999999</v>
      </c>
      <c r="G300" s="5" t="s">
        <v>69</v>
      </c>
      <c r="H300" s="58">
        <f>21073.73779</f>
        <v>21073.737789999999</v>
      </c>
    </row>
    <row r="301" spans="1:8" ht="22.5" customHeight="1" x14ac:dyDescent="0.2">
      <c r="A301" s="26"/>
      <c r="B301" s="26"/>
      <c r="C301" s="6" t="s">
        <v>43</v>
      </c>
      <c r="D301" s="4" t="s">
        <v>652</v>
      </c>
      <c r="E301" s="5">
        <f>701.25</f>
        <v>701.25</v>
      </c>
      <c r="F301" s="5">
        <f>331</f>
        <v>331</v>
      </c>
      <c r="G301" s="5" t="s">
        <v>653</v>
      </c>
      <c r="H301" s="58">
        <f>331</f>
        <v>331</v>
      </c>
    </row>
    <row r="302" spans="1:8" ht="22.5" customHeight="1" x14ac:dyDescent="0.2">
      <c r="A302" s="26"/>
      <c r="B302" s="26"/>
      <c r="C302" s="4" t="s">
        <v>59</v>
      </c>
      <c r="D302" s="4" t="s">
        <v>654</v>
      </c>
      <c r="E302" s="5">
        <f>E303</f>
        <v>1031</v>
      </c>
      <c r="F302" s="5">
        <f>F303</f>
        <v>685.87171999999998</v>
      </c>
      <c r="G302" s="5" t="s">
        <v>655</v>
      </c>
      <c r="H302" s="58">
        <f>H303</f>
        <v>685.87171999999998</v>
      </c>
    </row>
    <row r="303" spans="1:8" ht="22.5" customHeight="1" x14ac:dyDescent="0.2">
      <c r="A303" s="26"/>
      <c r="B303" s="26"/>
      <c r="C303" s="6" t="s">
        <v>176</v>
      </c>
      <c r="D303" s="4" t="s">
        <v>656</v>
      </c>
      <c r="E303" s="5">
        <f>1031</f>
        <v>1031</v>
      </c>
      <c r="F303" s="5">
        <f>685.87172</f>
        <v>685.87171999999998</v>
      </c>
      <c r="G303" s="5" t="s">
        <v>655</v>
      </c>
      <c r="H303" s="58">
        <f>685.87172</f>
        <v>685.87171999999998</v>
      </c>
    </row>
    <row r="304" spans="1:8" ht="22.5" customHeight="1" x14ac:dyDescent="0.2">
      <c r="A304" s="26"/>
      <c r="B304" s="26"/>
      <c r="C304" s="4" t="s">
        <v>82</v>
      </c>
      <c r="D304" s="4" t="s">
        <v>121</v>
      </c>
      <c r="E304" s="5">
        <f>E305</f>
        <v>26693.11</v>
      </c>
      <c r="F304" s="5">
        <f>F305</f>
        <v>18390.637040000001</v>
      </c>
      <c r="G304" s="5" t="s">
        <v>647</v>
      </c>
      <c r="H304" s="58">
        <f>H305</f>
        <v>18390.637040000001</v>
      </c>
    </row>
    <row r="305" spans="1:8" ht="22.5" customHeight="1" x14ac:dyDescent="0.2">
      <c r="A305" s="26"/>
      <c r="B305" s="26"/>
      <c r="C305" s="6" t="s">
        <v>85</v>
      </c>
      <c r="D305" s="4" t="s">
        <v>657</v>
      </c>
      <c r="E305" s="5">
        <f>26693.11</f>
        <v>26693.11</v>
      </c>
      <c r="F305" s="5">
        <f>18390.63704</f>
        <v>18390.637040000001</v>
      </c>
      <c r="G305" s="5" t="s">
        <v>647</v>
      </c>
      <c r="H305" s="58">
        <f>18390.63704</f>
        <v>18390.637040000001</v>
      </c>
    </row>
    <row r="306" spans="1:8" ht="22.5" customHeight="1" x14ac:dyDescent="0.2">
      <c r="A306" s="26"/>
      <c r="B306" s="26"/>
      <c r="C306" s="16" t="s">
        <v>64</v>
      </c>
      <c r="D306" s="16" t="s">
        <v>658</v>
      </c>
      <c r="E306" s="17">
        <f>E307</f>
        <v>27.9</v>
      </c>
      <c r="F306" s="17">
        <f>F307</f>
        <v>0</v>
      </c>
      <c r="G306" s="17" t="s">
        <v>9</v>
      </c>
      <c r="H306" s="57">
        <f>H307</f>
        <v>0</v>
      </c>
    </row>
    <row r="307" spans="1:8" ht="22.5" customHeight="1" x14ac:dyDescent="0.2">
      <c r="A307" s="26"/>
      <c r="B307" s="26"/>
      <c r="C307" s="4" t="s">
        <v>53</v>
      </c>
      <c r="D307" s="4" t="s">
        <v>659</v>
      </c>
      <c r="E307" s="5">
        <f>E308+E309</f>
        <v>27.9</v>
      </c>
      <c r="F307" s="5">
        <f>F308+F309</f>
        <v>0</v>
      </c>
      <c r="G307" s="5" t="s">
        <v>9</v>
      </c>
      <c r="H307" s="58">
        <f>H308+H309</f>
        <v>0</v>
      </c>
    </row>
    <row r="308" spans="1:8" ht="22.5" customHeight="1" x14ac:dyDescent="0.2">
      <c r="A308" s="26"/>
      <c r="B308" s="26"/>
      <c r="C308" s="6" t="s">
        <v>55</v>
      </c>
      <c r="D308" s="4" t="s">
        <v>660</v>
      </c>
      <c r="E308" s="5">
        <f>27.9</f>
        <v>27.9</v>
      </c>
      <c r="F308" s="5">
        <f>0</f>
        <v>0</v>
      </c>
      <c r="G308" s="5" t="s">
        <v>9</v>
      </c>
      <c r="H308" s="58">
        <f>0</f>
        <v>0</v>
      </c>
    </row>
    <row r="309" spans="1:8" ht="22.5" customHeight="1" x14ac:dyDescent="0.2">
      <c r="A309" s="26"/>
      <c r="B309" s="26"/>
      <c r="C309" s="6" t="s">
        <v>70</v>
      </c>
      <c r="D309" s="4" t="s">
        <v>661</v>
      </c>
      <c r="E309" s="5">
        <f>0</f>
        <v>0</v>
      </c>
      <c r="F309" s="5">
        <f>0</f>
        <v>0</v>
      </c>
      <c r="G309" s="5" t="s">
        <v>42</v>
      </c>
      <c r="H309" s="58">
        <f>0</f>
        <v>0</v>
      </c>
    </row>
    <row r="310" spans="1:8" ht="22.5" customHeight="1" x14ac:dyDescent="0.2">
      <c r="A310" s="26"/>
      <c r="B310" s="26"/>
      <c r="C310" s="16" t="s">
        <v>79</v>
      </c>
      <c r="D310" s="16" t="s">
        <v>662</v>
      </c>
      <c r="E310" s="17">
        <f>E311+E312</f>
        <v>0</v>
      </c>
      <c r="F310" s="17">
        <f>F311+F312</f>
        <v>0</v>
      </c>
      <c r="G310" s="17" t="s">
        <v>42</v>
      </c>
      <c r="H310" s="57">
        <f>H311+H312</f>
        <v>0</v>
      </c>
    </row>
    <row r="311" spans="1:8" ht="22.5" customHeight="1" x14ac:dyDescent="0.2">
      <c r="A311" s="26"/>
      <c r="B311" s="26"/>
      <c r="C311" s="4" t="s">
        <v>481</v>
      </c>
      <c r="D311" s="4" t="s">
        <v>663</v>
      </c>
      <c r="E311" s="5">
        <f>0</f>
        <v>0</v>
      </c>
      <c r="F311" s="5">
        <f>0</f>
        <v>0</v>
      </c>
      <c r="G311" s="5" t="s">
        <v>42</v>
      </c>
      <c r="H311" s="58">
        <f>0</f>
        <v>0</v>
      </c>
    </row>
    <row r="312" spans="1:8" ht="22.5" customHeight="1" x14ac:dyDescent="0.2">
      <c r="A312" s="26"/>
      <c r="B312" s="26"/>
      <c r="C312" s="4" t="s">
        <v>492</v>
      </c>
      <c r="D312" s="4" t="s">
        <v>664</v>
      </c>
      <c r="E312" s="5">
        <f>0</f>
        <v>0</v>
      </c>
      <c r="F312" s="5">
        <f>0</f>
        <v>0</v>
      </c>
      <c r="G312" s="5" t="s">
        <v>42</v>
      </c>
      <c r="H312" s="58">
        <f>0</f>
        <v>0</v>
      </c>
    </row>
    <row r="313" spans="1:8" ht="22.5" customHeight="1" x14ac:dyDescent="0.2">
      <c r="A313" s="26"/>
      <c r="B313" s="26"/>
      <c r="C313" s="16" t="s">
        <v>36</v>
      </c>
      <c r="D313" s="16" t="s">
        <v>119</v>
      </c>
      <c r="E313" s="17">
        <f>E314+E324</f>
        <v>550873.48</v>
      </c>
      <c r="F313" s="17">
        <f>F314+F324</f>
        <v>382050.19451999996</v>
      </c>
      <c r="G313" s="17" t="s">
        <v>581</v>
      </c>
      <c r="H313" s="57">
        <f>H314+H324</f>
        <v>382050.19451999996</v>
      </c>
    </row>
    <row r="314" spans="1:8" ht="22.5" customHeight="1" x14ac:dyDescent="0.2">
      <c r="A314" s="26"/>
      <c r="B314" s="26"/>
      <c r="C314" s="4" t="s">
        <v>53</v>
      </c>
      <c r="D314" s="4" t="s">
        <v>121</v>
      </c>
      <c r="E314" s="5">
        <f>E315+E316+E317+E318+E319+E320+E321+E322+E323</f>
        <v>550773.48</v>
      </c>
      <c r="F314" s="5">
        <f>F315+F316+F317+F318+F319+F320+F321+F322+F323</f>
        <v>382033.19451999996</v>
      </c>
      <c r="G314" s="5" t="s">
        <v>581</v>
      </c>
      <c r="H314" s="58">
        <f>H315+H316+H317+H318+H319+H320+H321+H322+H323</f>
        <v>382033.19451999996</v>
      </c>
    </row>
    <row r="315" spans="1:8" ht="22.5" customHeight="1" x14ac:dyDescent="0.2">
      <c r="A315" s="26"/>
      <c r="B315" s="26"/>
      <c r="C315" s="6" t="s">
        <v>55</v>
      </c>
      <c r="D315" s="4" t="s">
        <v>665</v>
      </c>
      <c r="E315" s="5">
        <f>4817.28</f>
        <v>4817.28</v>
      </c>
      <c r="F315" s="5">
        <f>3281.48181</f>
        <v>3281.4818100000002</v>
      </c>
      <c r="G315" s="5" t="s">
        <v>61</v>
      </c>
      <c r="H315" s="58">
        <f>3281.48181</f>
        <v>3281.4818100000002</v>
      </c>
    </row>
    <row r="316" spans="1:8" ht="22.5" customHeight="1" x14ac:dyDescent="0.2">
      <c r="A316" s="26"/>
      <c r="B316" s="26"/>
      <c r="C316" s="6" t="s">
        <v>70</v>
      </c>
      <c r="D316" s="4" t="s">
        <v>666</v>
      </c>
      <c r="E316" s="5">
        <f>336645.04</f>
        <v>336645.04</v>
      </c>
      <c r="F316" s="5">
        <f>232512.43649</f>
        <v>232512.43648999999</v>
      </c>
      <c r="G316" s="5" t="s">
        <v>52</v>
      </c>
      <c r="H316" s="58">
        <f>232512.43649</f>
        <v>232512.43648999999</v>
      </c>
    </row>
    <row r="317" spans="1:8" ht="22.5" customHeight="1" x14ac:dyDescent="0.2">
      <c r="A317" s="26"/>
      <c r="B317" s="26"/>
      <c r="C317" s="6" t="s">
        <v>399</v>
      </c>
      <c r="D317" s="4" t="s">
        <v>667</v>
      </c>
      <c r="E317" s="5">
        <f>31655.42</f>
        <v>31655.42</v>
      </c>
      <c r="F317" s="5">
        <f>21068.78035</f>
        <v>21068.780350000001</v>
      </c>
      <c r="G317" s="5" t="s">
        <v>199</v>
      </c>
      <c r="H317" s="58">
        <f>21068.78035</f>
        <v>21068.780350000001</v>
      </c>
    </row>
    <row r="318" spans="1:8" ht="22.5" customHeight="1" x14ac:dyDescent="0.2">
      <c r="A318" s="26"/>
      <c r="B318" s="26"/>
      <c r="C318" s="6" t="s">
        <v>401</v>
      </c>
      <c r="D318" s="4" t="s">
        <v>668</v>
      </c>
      <c r="E318" s="5">
        <f>78678.42</f>
        <v>78678.42</v>
      </c>
      <c r="F318" s="5">
        <f>57046.10993</f>
        <v>57046.109929999999</v>
      </c>
      <c r="G318" s="5" t="s">
        <v>669</v>
      </c>
      <c r="H318" s="58">
        <f>57046.10993</f>
        <v>57046.109929999999</v>
      </c>
    </row>
    <row r="319" spans="1:8" ht="22.5" customHeight="1" x14ac:dyDescent="0.2">
      <c r="A319" s="26"/>
      <c r="B319" s="26"/>
      <c r="C319" s="6" t="s">
        <v>129</v>
      </c>
      <c r="D319" s="4" t="s">
        <v>670</v>
      </c>
      <c r="E319" s="5">
        <f>53026.96</f>
        <v>53026.96</v>
      </c>
      <c r="F319" s="5">
        <f>36234.86706</f>
        <v>36234.867059999997</v>
      </c>
      <c r="G319" s="5" t="s">
        <v>671</v>
      </c>
      <c r="H319" s="58">
        <f>36234.86706</f>
        <v>36234.867059999997</v>
      </c>
    </row>
    <row r="320" spans="1:8" ht="22.5" customHeight="1" x14ac:dyDescent="0.2">
      <c r="A320" s="26"/>
      <c r="B320" s="26"/>
      <c r="C320" s="6" t="s">
        <v>135</v>
      </c>
      <c r="D320" s="4" t="s">
        <v>672</v>
      </c>
      <c r="E320" s="5">
        <f>662</f>
        <v>662</v>
      </c>
      <c r="F320" s="5">
        <f>327.445</f>
        <v>327.44499999999999</v>
      </c>
      <c r="G320" s="5" t="s">
        <v>673</v>
      </c>
      <c r="H320" s="58">
        <f>327.445</f>
        <v>327.44499999999999</v>
      </c>
    </row>
    <row r="321" spans="1:8" ht="22.5" customHeight="1" x14ac:dyDescent="0.2">
      <c r="A321" s="26"/>
      <c r="B321" s="26"/>
      <c r="C321" s="6" t="s">
        <v>152</v>
      </c>
      <c r="D321" s="4" t="s">
        <v>674</v>
      </c>
      <c r="E321" s="5">
        <f>27338.7</f>
        <v>27338.7</v>
      </c>
      <c r="F321" s="5">
        <f>18579.81609</f>
        <v>18579.81609</v>
      </c>
      <c r="G321" s="5" t="s">
        <v>675</v>
      </c>
      <c r="H321" s="58">
        <f>18579.81609</f>
        <v>18579.81609</v>
      </c>
    </row>
    <row r="322" spans="1:8" ht="22.5" customHeight="1" x14ac:dyDescent="0.2">
      <c r="A322" s="26"/>
      <c r="B322" s="26"/>
      <c r="C322" s="6" t="s">
        <v>154</v>
      </c>
      <c r="D322" s="4" t="s">
        <v>676</v>
      </c>
      <c r="E322" s="5">
        <f>16449.66</f>
        <v>16449.66</v>
      </c>
      <c r="F322" s="5">
        <f>11482.25779</f>
        <v>11482.25779</v>
      </c>
      <c r="G322" s="5" t="s">
        <v>677</v>
      </c>
      <c r="H322" s="58">
        <f>11482.25779</f>
        <v>11482.25779</v>
      </c>
    </row>
    <row r="323" spans="1:8" ht="22.5" customHeight="1" x14ac:dyDescent="0.2">
      <c r="A323" s="26"/>
      <c r="B323" s="26"/>
      <c r="C323" s="6" t="s">
        <v>160</v>
      </c>
      <c r="D323" s="4" t="s">
        <v>678</v>
      </c>
      <c r="E323" s="5">
        <f>1500</f>
        <v>1500</v>
      </c>
      <c r="F323" s="5">
        <f>1500</f>
        <v>1500</v>
      </c>
      <c r="G323" s="5" t="s">
        <v>75</v>
      </c>
      <c r="H323" s="58">
        <f>1500</f>
        <v>1500</v>
      </c>
    </row>
    <row r="324" spans="1:8" ht="22.5" customHeight="1" x14ac:dyDescent="0.2">
      <c r="A324" s="26"/>
      <c r="B324" s="26"/>
      <c r="C324" s="4" t="s">
        <v>59</v>
      </c>
      <c r="D324" s="4" t="s">
        <v>680</v>
      </c>
      <c r="E324" s="5">
        <f>E325</f>
        <v>100</v>
      </c>
      <c r="F324" s="5">
        <f>F325</f>
        <v>17</v>
      </c>
      <c r="G324" s="5" t="s">
        <v>679</v>
      </c>
      <c r="H324" s="58">
        <f>H325</f>
        <v>17</v>
      </c>
    </row>
    <row r="325" spans="1:8" ht="22.5" customHeight="1" x14ac:dyDescent="0.2">
      <c r="A325" s="26"/>
      <c r="B325" s="26"/>
      <c r="C325" s="6" t="s">
        <v>176</v>
      </c>
      <c r="D325" s="4" t="s">
        <v>681</v>
      </c>
      <c r="E325" s="5">
        <f>100</f>
        <v>100</v>
      </c>
      <c r="F325" s="5">
        <f>17</f>
        <v>17</v>
      </c>
      <c r="G325" s="5" t="s">
        <v>679</v>
      </c>
      <c r="H325" s="58">
        <f>17</f>
        <v>17</v>
      </c>
    </row>
    <row r="326" spans="1:8" ht="22.5" customHeight="1" thickBot="1" x14ac:dyDescent="0.25">
      <c r="A326" s="76" t="s">
        <v>6</v>
      </c>
      <c r="B326" s="77"/>
      <c r="C326" s="77"/>
      <c r="D326" s="78"/>
      <c r="E326" s="69">
        <f>E297+E306+E310+E313</f>
        <v>612796.22</v>
      </c>
      <c r="F326" s="63">
        <f>F297+F306+F310+F313</f>
        <v>424670.77191999997</v>
      </c>
      <c r="G326" s="70" t="s">
        <v>66</v>
      </c>
      <c r="H326" s="65">
        <f>H297+H306+H310+H313</f>
        <v>424670.77191999997</v>
      </c>
    </row>
    <row r="327" spans="1:8" ht="22.5" customHeight="1" x14ac:dyDescent="0.2">
      <c r="A327" s="28">
        <v>13</v>
      </c>
      <c r="B327" s="30" t="s">
        <v>19</v>
      </c>
      <c r="C327" s="16" t="s">
        <v>30</v>
      </c>
      <c r="D327" s="16" t="s">
        <v>682</v>
      </c>
      <c r="E327" s="17">
        <f>E328+E329</f>
        <v>59284.39</v>
      </c>
      <c r="F327" s="17">
        <f>F328+F329</f>
        <v>36614.17</v>
      </c>
      <c r="G327" s="17" t="s">
        <v>683</v>
      </c>
      <c r="H327" s="57">
        <f>H328+H329</f>
        <v>36614.17</v>
      </c>
    </row>
    <row r="328" spans="1:8" ht="22.5" customHeight="1" x14ac:dyDescent="0.2">
      <c r="A328" s="29"/>
      <c r="B328" s="31"/>
      <c r="C328" s="4" t="s">
        <v>53</v>
      </c>
      <c r="D328" s="4" t="s">
        <v>684</v>
      </c>
      <c r="E328" s="5">
        <f>54563.73</f>
        <v>54563.73</v>
      </c>
      <c r="F328" s="5">
        <f>34088.89</f>
        <v>34088.89</v>
      </c>
      <c r="G328" s="5" t="s">
        <v>685</v>
      </c>
      <c r="H328" s="58">
        <f>34088.89</f>
        <v>34088.89</v>
      </c>
    </row>
    <row r="329" spans="1:8" ht="22.5" customHeight="1" x14ac:dyDescent="0.2">
      <c r="A329" s="29"/>
      <c r="B329" s="31"/>
      <c r="C329" s="4" t="s">
        <v>96</v>
      </c>
      <c r="D329" s="4" t="s">
        <v>686</v>
      </c>
      <c r="E329" s="5">
        <f>4720.66</f>
        <v>4720.66</v>
      </c>
      <c r="F329" s="5">
        <f>2525.28</f>
        <v>2525.2800000000002</v>
      </c>
      <c r="G329" s="5" t="s">
        <v>308</v>
      </c>
      <c r="H329" s="58">
        <f>2525.28</f>
        <v>2525.2800000000002</v>
      </c>
    </row>
    <row r="330" spans="1:8" ht="22.5" customHeight="1" x14ac:dyDescent="0.2">
      <c r="A330" s="29"/>
      <c r="B330" s="31"/>
      <c r="C330" s="16" t="s">
        <v>50</v>
      </c>
      <c r="D330" s="16" t="s">
        <v>687</v>
      </c>
      <c r="E330" s="17">
        <f>E331</f>
        <v>0</v>
      </c>
      <c r="F330" s="17">
        <f>F331</f>
        <v>0</v>
      </c>
      <c r="G330" s="17" t="s">
        <v>42</v>
      </c>
      <c r="H330" s="57">
        <f>H331</f>
        <v>0</v>
      </c>
    </row>
    <row r="331" spans="1:8" ht="22.5" customHeight="1" x14ac:dyDescent="0.2">
      <c r="A331" s="29"/>
      <c r="B331" s="31"/>
      <c r="C331" s="4" t="s">
        <v>32</v>
      </c>
      <c r="D331" s="4" t="s">
        <v>688</v>
      </c>
      <c r="E331" s="5">
        <f>0</f>
        <v>0</v>
      </c>
      <c r="F331" s="5">
        <f>0</f>
        <v>0</v>
      </c>
      <c r="G331" s="5" t="s">
        <v>42</v>
      </c>
      <c r="H331" s="58">
        <f>0</f>
        <v>0</v>
      </c>
    </row>
    <row r="332" spans="1:8" ht="22.5" customHeight="1" x14ac:dyDescent="0.2">
      <c r="A332" s="29"/>
      <c r="B332" s="31"/>
      <c r="C332" s="16" t="s">
        <v>64</v>
      </c>
      <c r="D332" s="16" t="s">
        <v>689</v>
      </c>
      <c r="E332" s="17">
        <f>E333</f>
        <v>9102.7199999999993</v>
      </c>
      <c r="F332" s="17">
        <f>F333</f>
        <v>0</v>
      </c>
      <c r="G332" s="17" t="s">
        <v>9</v>
      </c>
      <c r="H332" s="57">
        <f>H333</f>
        <v>0</v>
      </c>
    </row>
    <row r="333" spans="1:8" ht="22.5" customHeight="1" x14ac:dyDescent="0.2">
      <c r="A333" s="29"/>
      <c r="B333" s="31"/>
      <c r="C333" s="4" t="s">
        <v>32</v>
      </c>
      <c r="D333" s="4" t="s">
        <v>690</v>
      </c>
      <c r="E333" s="5">
        <f>E334</f>
        <v>9102.7199999999993</v>
      </c>
      <c r="F333" s="5">
        <f>F334</f>
        <v>0</v>
      </c>
      <c r="G333" s="5" t="s">
        <v>9</v>
      </c>
      <c r="H333" s="58">
        <f>H334</f>
        <v>0</v>
      </c>
    </row>
    <row r="334" spans="1:8" ht="22.5" customHeight="1" x14ac:dyDescent="0.2">
      <c r="A334" s="29"/>
      <c r="B334" s="31"/>
      <c r="C334" s="6" t="s">
        <v>34</v>
      </c>
      <c r="D334" s="4" t="s">
        <v>691</v>
      </c>
      <c r="E334" s="5">
        <f>6999.99+2010.01+92.72</f>
        <v>9102.7199999999993</v>
      </c>
      <c r="F334" s="5">
        <f>0</f>
        <v>0</v>
      </c>
      <c r="G334" s="5" t="s">
        <v>9</v>
      </c>
      <c r="H334" s="58">
        <f>0</f>
        <v>0</v>
      </c>
    </row>
    <row r="335" spans="1:8" ht="22.5" customHeight="1" x14ac:dyDescent="0.2">
      <c r="A335" s="29"/>
      <c r="B335" s="31"/>
      <c r="C335" s="16" t="s">
        <v>79</v>
      </c>
      <c r="D335" s="16" t="s">
        <v>692</v>
      </c>
      <c r="E335" s="17">
        <f>E336+E338</f>
        <v>4190</v>
      </c>
      <c r="F335" s="17">
        <f>F336+F338</f>
        <v>3851.44</v>
      </c>
      <c r="G335" s="17" t="s">
        <v>693</v>
      </c>
      <c r="H335" s="57">
        <f>H336+H338</f>
        <v>3851.44</v>
      </c>
    </row>
    <row r="336" spans="1:8" ht="22.5" customHeight="1" x14ac:dyDescent="0.2">
      <c r="A336" s="29"/>
      <c r="B336" s="31"/>
      <c r="C336" s="4" t="s">
        <v>53</v>
      </c>
      <c r="D336" s="4" t="s">
        <v>694</v>
      </c>
      <c r="E336" s="5">
        <f>E337</f>
        <v>700</v>
      </c>
      <c r="F336" s="5">
        <f>F337</f>
        <v>569.65</v>
      </c>
      <c r="G336" s="5" t="s">
        <v>695</v>
      </c>
      <c r="H336" s="58">
        <f>H337</f>
        <v>569.65</v>
      </c>
    </row>
    <row r="337" spans="1:8" ht="22.5" customHeight="1" x14ac:dyDescent="0.2">
      <c r="A337" s="29"/>
      <c r="B337" s="31"/>
      <c r="C337" s="6" t="s">
        <v>55</v>
      </c>
      <c r="D337" s="4" t="s">
        <v>696</v>
      </c>
      <c r="E337" s="5">
        <f>700</f>
        <v>700</v>
      </c>
      <c r="F337" s="5">
        <f>569.65</f>
        <v>569.65</v>
      </c>
      <c r="G337" s="5" t="s">
        <v>695</v>
      </c>
      <c r="H337" s="58">
        <f>569.65</f>
        <v>569.65</v>
      </c>
    </row>
    <row r="338" spans="1:8" ht="22.5" customHeight="1" x14ac:dyDescent="0.2">
      <c r="A338" s="29"/>
      <c r="B338" s="31"/>
      <c r="C338" s="4" t="s">
        <v>32</v>
      </c>
      <c r="D338" s="4" t="s">
        <v>697</v>
      </c>
      <c r="E338" s="5">
        <f>E339</f>
        <v>3490</v>
      </c>
      <c r="F338" s="5">
        <f>F339</f>
        <v>3281.79</v>
      </c>
      <c r="G338" s="5" t="s">
        <v>698</v>
      </c>
      <c r="H338" s="58">
        <f>H339</f>
        <v>3281.79</v>
      </c>
    </row>
    <row r="339" spans="1:8" ht="22.5" customHeight="1" x14ac:dyDescent="0.2">
      <c r="A339" s="29"/>
      <c r="B339" s="31"/>
      <c r="C339" s="6" t="s">
        <v>35</v>
      </c>
      <c r="D339" s="4" t="s">
        <v>699</v>
      </c>
      <c r="E339" s="5">
        <f>3490</f>
        <v>3490</v>
      </c>
      <c r="F339" s="5">
        <f>3281.79</f>
        <v>3281.79</v>
      </c>
      <c r="G339" s="5" t="s">
        <v>698</v>
      </c>
      <c r="H339" s="58">
        <f>3281.79</f>
        <v>3281.79</v>
      </c>
    </row>
    <row r="340" spans="1:8" ht="22.5" customHeight="1" x14ac:dyDescent="0.2">
      <c r="A340" s="29"/>
      <c r="B340" s="31"/>
      <c r="C340" s="16" t="s">
        <v>36</v>
      </c>
      <c r="D340" s="16" t="s">
        <v>700</v>
      </c>
      <c r="E340" s="17">
        <f>E341</f>
        <v>0</v>
      </c>
      <c r="F340" s="17">
        <f>F341</f>
        <v>0</v>
      </c>
      <c r="G340" s="17" t="s">
        <v>42</v>
      </c>
      <c r="H340" s="57">
        <f>H341</f>
        <v>0</v>
      </c>
    </row>
    <row r="341" spans="1:8" ht="22.5" customHeight="1" x14ac:dyDescent="0.2">
      <c r="A341" s="29"/>
      <c r="B341" s="31"/>
      <c r="C341" s="4" t="s">
        <v>53</v>
      </c>
      <c r="D341" s="4" t="s">
        <v>701</v>
      </c>
      <c r="E341" s="5">
        <f>0</f>
        <v>0</v>
      </c>
      <c r="F341" s="5">
        <f>0</f>
        <v>0</v>
      </c>
      <c r="G341" s="5" t="s">
        <v>42</v>
      </c>
      <c r="H341" s="58">
        <f>0</f>
        <v>0</v>
      </c>
    </row>
    <row r="342" spans="1:8" ht="22.5" customHeight="1" x14ac:dyDescent="0.2">
      <c r="A342" s="29"/>
      <c r="B342" s="31"/>
      <c r="C342" s="16" t="s">
        <v>103</v>
      </c>
      <c r="D342" s="16" t="s">
        <v>119</v>
      </c>
      <c r="E342" s="17">
        <f>E343+E345</f>
        <v>8135.085</v>
      </c>
      <c r="F342" s="17">
        <f>F343+F345</f>
        <v>5119.46</v>
      </c>
      <c r="G342" s="17" t="s">
        <v>545</v>
      </c>
      <c r="H342" s="57">
        <f>H343+H345</f>
        <v>5119.46</v>
      </c>
    </row>
    <row r="343" spans="1:8" ht="22.5" customHeight="1" x14ac:dyDescent="0.2">
      <c r="A343" s="29"/>
      <c r="B343" s="31"/>
      <c r="C343" s="4" t="s">
        <v>59</v>
      </c>
      <c r="D343" s="4" t="s">
        <v>702</v>
      </c>
      <c r="E343" s="5">
        <f>E344</f>
        <v>8134.68</v>
      </c>
      <c r="F343" s="5">
        <f>F344</f>
        <v>5119.46</v>
      </c>
      <c r="G343" s="5" t="s">
        <v>545</v>
      </c>
      <c r="H343" s="58">
        <f>H344</f>
        <v>5119.46</v>
      </c>
    </row>
    <row r="344" spans="1:8" ht="22.5" customHeight="1" x14ac:dyDescent="0.2">
      <c r="A344" s="29"/>
      <c r="B344" s="31"/>
      <c r="C344" s="6" t="s">
        <v>176</v>
      </c>
      <c r="D344" s="4" t="s">
        <v>703</v>
      </c>
      <c r="E344" s="5">
        <f>8134.68</f>
        <v>8134.68</v>
      </c>
      <c r="F344" s="5">
        <f>5119.46</f>
        <v>5119.46</v>
      </c>
      <c r="G344" s="5" t="s">
        <v>545</v>
      </c>
      <c r="H344" s="58">
        <f>5119.46</f>
        <v>5119.46</v>
      </c>
    </row>
    <row r="345" spans="1:8" ht="22.5" customHeight="1" x14ac:dyDescent="0.2">
      <c r="A345" s="29"/>
      <c r="B345" s="31"/>
      <c r="C345" s="4" t="s">
        <v>82</v>
      </c>
      <c r="D345" s="4" t="s">
        <v>704</v>
      </c>
      <c r="E345" s="5">
        <f>E346</f>
        <v>0.40500000000000003</v>
      </c>
      <c r="F345" s="5">
        <f>F346</f>
        <v>0</v>
      </c>
      <c r="G345" s="5" t="s">
        <v>9</v>
      </c>
      <c r="H345" s="58">
        <f>H346</f>
        <v>0</v>
      </c>
    </row>
    <row r="346" spans="1:8" ht="22.5" customHeight="1" x14ac:dyDescent="0.2">
      <c r="A346" s="29"/>
      <c r="B346" s="31"/>
      <c r="C346" s="6" t="s">
        <v>85</v>
      </c>
      <c r="D346" s="4" t="s">
        <v>705</v>
      </c>
      <c r="E346" s="5">
        <f>0.405</f>
        <v>0.40500000000000003</v>
      </c>
      <c r="F346" s="5">
        <f>0</f>
        <v>0</v>
      </c>
      <c r="G346" s="5" t="s">
        <v>9</v>
      </c>
      <c r="H346" s="58">
        <f>0</f>
        <v>0</v>
      </c>
    </row>
    <row r="347" spans="1:8" ht="22.5" customHeight="1" thickBot="1" x14ac:dyDescent="0.25">
      <c r="A347" s="74" t="s">
        <v>6</v>
      </c>
      <c r="B347" s="75"/>
      <c r="C347" s="75"/>
      <c r="D347" s="75"/>
      <c r="E347" s="69">
        <f>E327+E330+E332+E335+E340+E342</f>
        <v>80712.195000000007</v>
      </c>
      <c r="F347" s="63">
        <f>F327+F330+F332+F335+F340+F342</f>
        <v>45585.07</v>
      </c>
      <c r="G347" s="63" t="s">
        <v>706</v>
      </c>
      <c r="H347" s="70">
        <f>H327+H330+H332+H335+H340+H342</f>
        <v>45585.07</v>
      </c>
    </row>
    <row r="348" spans="1:8" ht="22.5" customHeight="1" x14ac:dyDescent="0.2">
      <c r="A348" s="33">
        <v>14</v>
      </c>
      <c r="B348" s="30" t="s">
        <v>20</v>
      </c>
      <c r="C348" s="22" t="s">
        <v>30</v>
      </c>
      <c r="D348" s="22" t="s">
        <v>623</v>
      </c>
      <c r="E348" s="20">
        <f>E349</f>
        <v>360585.61</v>
      </c>
      <c r="F348" s="20">
        <f>F349</f>
        <v>279676.95299999998</v>
      </c>
      <c r="G348" s="20" t="s">
        <v>624</v>
      </c>
      <c r="H348" s="59">
        <f>H349</f>
        <v>279676.95299999998</v>
      </c>
    </row>
    <row r="349" spans="1:8" ht="22.5" customHeight="1" x14ac:dyDescent="0.2">
      <c r="A349" s="34"/>
      <c r="B349" s="31"/>
      <c r="C349" s="4" t="s">
        <v>91</v>
      </c>
      <c r="D349" s="4" t="s">
        <v>625</v>
      </c>
      <c r="E349" s="5">
        <f>E350+E351</f>
        <v>360585.61</v>
      </c>
      <c r="F349" s="5">
        <f>F350+F351</f>
        <v>279676.95299999998</v>
      </c>
      <c r="G349" s="5" t="s">
        <v>624</v>
      </c>
      <c r="H349" s="58">
        <f>H350+H351</f>
        <v>279676.95299999998</v>
      </c>
    </row>
    <row r="350" spans="1:8" ht="22.5" customHeight="1" x14ac:dyDescent="0.2">
      <c r="A350" s="34"/>
      <c r="B350" s="31"/>
      <c r="C350" s="6" t="s">
        <v>338</v>
      </c>
      <c r="D350" s="4" t="s">
        <v>626</v>
      </c>
      <c r="E350" s="5">
        <f>107558.35+252911.03</f>
        <v>360469.38</v>
      </c>
      <c r="F350" s="5">
        <f>81568.844+198015.13</f>
        <v>279583.97399999999</v>
      </c>
      <c r="G350" s="5" t="s">
        <v>624</v>
      </c>
      <c r="H350" s="58">
        <f>81568.844+198015.13</f>
        <v>279583.97399999999</v>
      </c>
    </row>
    <row r="351" spans="1:8" ht="22.5" customHeight="1" x14ac:dyDescent="0.2">
      <c r="A351" s="34"/>
      <c r="B351" s="31"/>
      <c r="C351" s="6" t="s">
        <v>341</v>
      </c>
      <c r="D351" s="4" t="s">
        <v>627</v>
      </c>
      <c r="E351" s="5">
        <f>116.23</f>
        <v>116.23</v>
      </c>
      <c r="F351" s="5">
        <f>92.979</f>
        <v>92.978999999999999</v>
      </c>
      <c r="G351" s="5" t="s">
        <v>628</v>
      </c>
      <c r="H351" s="58">
        <f>92.979</f>
        <v>92.978999999999999</v>
      </c>
    </row>
    <row r="352" spans="1:8" ht="22.5" customHeight="1" x14ac:dyDescent="0.2">
      <c r="A352" s="34"/>
      <c r="B352" s="31"/>
      <c r="C352" s="16" t="s">
        <v>50</v>
      </c>
      <c r="D352" s="16" t="s">
        <v>629</v>
      </c>
      <c r="E352" s="17">
        <f>E353+E355</f>
        <v>184110.03</v>
      </c>
      <c r="F352" s="17">
        <f>F353+F355</f>
        <v>134728.78399999999</v>
      </c>
      <c r="G352" s="17" t="s">
        <v>630</v>
      </c>
      <c r="H352" s="57">
        <f>H353+H355</f>
        <v>134728.78399999999</v>
      </c>
    </row>
    <row r="353" spans="1:8" ht="22.5" customHeight="1" x14ac:dyDescent="0.2">
      <c r="A353" s="34"/>
      <c r="B353" s="31"/>
      <c r="C353" s="4" t="s">
        <v>32</v>
      </c>
      <c r="D353" s="4" t="s">
        <v>631</v>
      </c>
      <c r="E353" s="5">
        <f>E354</f>
        <v>0</v>
      </c>
      <c r="F353" s="5">
        <f>F354</f>
        <v>0</v>
      </c>
      <c r="G353" s="5" t="s">
        <v>42</v>
      </c>
      <c r="H353" s="58">
        <f>H354</f>
        <v>0</v>
      </c>
    </row>
    <row r="354" spans="1:8" ht="22.5" customHeight="1" x14ac:dyDescent="0.2">
      <c r="A354" s="34"/>
      <c r="B354" s="31"/>
      <c r="C354" s="6" t="s">
        <v>35</v>
      </c>
      <c r="D354" s="4" t="s">
        <v>632</v>
      </c>
      <c r="E354" s="5">
        <f>0</f>
        <v>0</v>
      </c>
      <c r="F354" s="5">
        <f>0</f>
        <v>0</v>
      </c>
      <c r="G354" s="5" t="s">
        <v>42</v>
      </c>
      <c r="H354" s="58">
        <f>0</f>
        <v>0</v>
      </c>
    </row>
    <row r="355" spans="1:8" ht="22.5" customHeight="1" x14ac:dyDescent="0.2">
      <c r="A355" s="34"/>
      <c r="B355" s="31"/>
      <c r="C355" s="4" t="s">
        <v>82</v>
      </c>
      <c r="D355" s="4" t="s">
        <v>633</v>
      </c>
      <c r="E355" s="5">
        <f>E356+E357+E358+E359</f>
        <v>184110.03</v>
      </c>
      <c r="F355" s="5">
        <f>F356+F357+F358+F359</f>
        <v>134728.78399999999</v>
      </c>
      <c r="G355" s="5" t="s">
        <v>630</v>
      </c>
      <c r="H355" s="58">
        <f>H356+H357+H358+H359</f>
        <v>134728.78399999999</v>
      </c>
    </row>
    <row r="356" spans="1:8" ht="22.5" customHeight="1" x14ac:dyDescent="0.2">
      <c r="A356" s="34"/>
      <c r="B356" s="31"/>
      <c r="C356" s="6" t="s">
        <v>85</v>
      </c>
      <c r="D356" s="4" t="s">
        <v>634</v>
      </c>
      <c r="E356" s="5">
        <f>35570+75944</f>
        <v>111514</v>
      </c>
      <c r="F356" s="5">
        <f>20568.634+68472.66</f>
        <v>89041.293999999994</v>
      </c>
      <c r="G356" s="5" t="s">
        <v>635</v>
      </c>
      <c r="H356" s="58">
        <f>20568.634+68472.66</f>
        <v>89041.293999999994</v>
      </c>
    </row>
    <row r="357" spans="1:8" ht="22.5" customHeight="1" x14ac:dyDescent="0.2">
      <c r="A357" s="34"/>
      <c r="B357" s="31"/>
      <c r="C357" s="6" t="s">
        <v>331</v>
      </c>
      <c r="D357" s="4" t="s">
        <v>636</v>
      </c>
      <c r="E357" s="5">
        <f>5233.52</f>
        <v>5233.5200000000004</v>
      </c>
      <c r="F357" s="5">
        <f>408.68</f>
        <v>408.68</v>
      </c>
      <c r="G357" s="5" t="s">
        <v>637</v>
      </c>
      <c r="H357" s="58">
        <f>408.68</f>
        <v>408.68</v>
      </c>
    </row>
    <row r="358" spans="1:8" ht="22.5" customHeight="1" x14ac:dyDescent="0.2">
      <c r="A358" s="34"/>
      <c r="B358" s="31"/>
      <c r="C358" s="6" t="s">
        <v>638</v>
      </c>
      <c r="D358" s="4" t="s">
        <v>639</v>
      </c>
      <c r="E358" s="5">
        <f>63439.2</f>
        <v>63439.199999999997</v>
      </c>
      <c r="F358" s="5">
        <f>44103.69</f>
        <v>44103.69</v>
      </c>
      <c r="G358" s="5" t="s">
        <v>640</v>
      </c>
      <c r="H358" s="58">
        <f>44103.69</f>
        <v>44103.69</v>
      </c>
    </row>
    <row r="359" spans="1:8" ht="22.5" customHeight="1" x14ac:dyDescent="0.2">
      <c r="A359" s="34"/>
      <c r="B359" s="31"/>
      <c r="C359" s="6" t="s">
        <v>641</v>
      </c>
      <c r="D359" s="4" t="s">
        <v>642</v>
      </c>
      <c r="E359" s="5">
        <f>3923.31</f>
        <v>3923.31</v>
      </c>
      <c r="F359" s="5">
        <f>1175.12</f>
        <v>1175.1199999999999</v>
      </c>
      <c r="G359" s="5" t="s">
        <v>643</v>
      </c>
      <c r="H359" s="58">
        <f>1175.12</f>
        <v>1175.1199999999999</v>
      </c>
    </row>
    <row r="360" spans="1:8" ht="22.5" customHeight="1" x14ac:dyDescent="0.2">
      <c r="A360" s="34"/>
      <c r="B360" s="31"/>
      <c r="C360" s="16" t="s">
        <v>36</v>
      </c>
      <c r="D360" s="16" t="s">
        <v>119</v>
      </c>
      <c r="E360" s="17">
        <f>E361</f>
        <v>122336.72</v>
      </c>
      <c r="F360" s="17">
        <f>F361</f>
        <v>89861.008000000002</v>
      </c>
      <c r="G360" s="17" t="s">
        <v>644</v>
      </c>
      <c r="H360" s="57">
        <f>H361</f>
        <v>89861.008000000002</v>
      </c>
    </row>
    <row r="361" spans="1:8" ht="22.5" customHeight="1" x14ac:dyDescent="0.2">
      <c r="A361" s="34"/>
      <c r="B361" s="31"/>
      <c r="C361" s="4" t="s">
        <v>53</v>
      </c>
      <c r="D361" s="4" t="s">
        <v>121</v>
      </c>
      <c r="E361" s="5">
        <f>E362</f>
        <v>122336.72</v>
      </c>
      <c r="F361" s="5">
        <f>F362</f>
        <v>89861.008000000002</v>
      </c>
      <c r="G361" s="5" t="s">
        <v>644</v>
      </c>
      <c r="H361" s="58">
        <f>H362</f>
        <v>89861.008000000002</v>
      </c>
    </row>
    <row r="362" spans="1:8" ht="22.5" customHeight="1" x14ac:dyDescent="0.2">
      <c r="A362" s="34"/>
      <c r="B362" s="31"/>
      <c r="C362" s="6" t="s">
        <v>70</v>
      </c>
      <c r="D362" s="4" t="s">
        <v>645</v>
      </c>
      <c r="E362" s="5">
        <f>122336.72</f>
        <v>122336.72</v>
      </c>
      <c r="F362" s="5">
        <f>89861.008</f>
        <v>89861.008000000002</v>
      </c>
      <c r="G362" s="5" t="s">
        <v>644</v>
      </c>
      <c r="H362" s="58">
        <f>89861.008</f>
        <v>89861.008000000002</v>
      </c>
    </row>
    <row r="363" spans="1:8" ht="22.5" customHeight="1" thickBot="1" x14ac:dyDescent="0.25">
      <c r="A363" s="71" t="s">
        <v>6</v>
      </c>
      <c r="B363" s="72"/>
      <c r="C363" s="72"/>
      <c r="D363" s="72"/>
      <c r="E363" s="69">
        <f>E348+E352+E360</f>
        <v>667032.36</v>
      </c>
      <c r="F363" s="63">
        <f>F348+F352+F360</f>
        <v>504266.745</v>
      </c>
      <c r="G363" s="70" t="s">
        <v>134</v>
      </c>
      <c r="H363" s="70">
        <f>H348+H352+H360</f>
        <v>504266.745</v>
      </c>
    </row>
    <row r="364" spans="1:8" ht="22.5" customHeight="1" x14ac:dyDescent="0.2">
      <c r="A364" s="32">
        <v>15</v>
      </c>
      <c r="B364" s="26" t="s">
        <v>21</v>
      </c>
      <c r="C364" s="16" t="s">
        <v>30</v>
      </c>
      <c r="D364" s="16" t="s">
        <v>582</v>
      </c>
      <c r="E364" s="17">
        <f>E365+E366</f>
        <v>799</v>
      </c>
      <c r="F364" s="17">
        <f>F365+F366</f>
        <v>0</v>
      </c>
      <c r="G364" s="20" t="s">
        <v>9</v>
      </c>
      <c r="H364" s="57">
        <f>H365+H366</f>
        <v>0</v>
      </c>
    </row>
    <row r="365" spans="1:8" ht="22.5" customHeight="1" x14ac:dyDescent="0.2">
      <c r="A365" s="32"/>
      <c r="B365" s="26"/>
      <c r="C365" s="4" t="s">
        <v>53</v>
      </c>
      <c r="D365" s="4" t="s">
        <v>583</v>
      </c>
      <c r="E365" s="5">
        <f>0</f>
        <v>0</v>
      </c>
      <c r="F365" s="5">
        <f>0</f>
        <v>0</v>
      </c>
      <c r="G365" s="5" t="s">
        <v>42</v>
      </c>
      <c r="H365" s="58">
        <f>0</f>
        <v>0</v>
      </c>
    </row>
    <row r="366" spans="1:8" ht="22.5" customHeight="1" x14ac:dyDescent="0.2">
      <c r="A366" s="32"/>
      <c r="B366" s="26"/>
      <c r="C366" s="4" t="s">
        <v>32</v>
      </c>
      <c r="D366" s="4" t="s">
        <v>584</v>
      </c>
      <c r="E366" s="5">
        <f>E367</f>
        <v>799</v>
      </c>
      <c r="F366" s="5">
        <f>F367</f>
        <v>0</v>
      </c>
      <c r="G366" s="5" t="s">
        <v>9</v>
      </c>
      <c r="H366" s="58">
        <f>H367</f>
        <v>0</v>
      </c>
    </row>
    <row r="367" spans="1:8" ht="22.5" customHeight="1" x14ac:dyDescent="0.2">
      <c r="A367" s="32"/>
      <c r="B367" s="26"/>
      <c r="C367" s="6" t="s">
        <v>34</v>
      </c>
      <c r="D367" s="4" t="s">
        <v>585</v>
      </c>
      <c r="E367" s="5">
        <f>185+614</f>
        <v>799</v>
      </c>
      <c r="F367" s="5">
        <f>0</f>
        <v>0</v>
      </c>
      <c r="G367" s="5" t="s">
        <v>9</v>
      </c>
      <c r="H367" s="58">
        <f>0</f>
        <v>0</v>
      </c>
    </row>
    <row r="368" spans="1:8" ht="22.5" customHeight="1" x14ac:dyDescent="0.2">
      <c r="A368" s="32"/>
      <c r="B368" s="26"/>
      <c r="C368" s="16" t="s">
        <v>50</v>
      </c>
      <c r="D368" s="16" t="s">
        <v>586</v>
      </c>
      <c r="E368" s="17">
        <f>E369+E375+E377+E381</f>
        <v>28396.192250000004</v>
      </c>
      <c r="F368" s="17">
        <f>F369+F375+F377+F381</f>
        <v>8860.4167400000006</v>
      </c>
      <c r="G368" s="17" t="s">
        <v>587</v>
      </c>
      <c r="H368" s="57">
        <f>H369+H375+H377+H381</f>
        <v>8860.4167400000006</v>
      </c>
    </row>
    <row r="369" spans="1:8" ht="22.5" customHeight="1" x14ac:dyDescent="0.2">
      <c r="A369" s="32"/>
      <c r="B369" s="26"/>
      <c r="C369" s="4" t="s">
        <v>53</v>
      </c>
      <c r="D369" s="4" t="s">
        <v>588</v>
      </c>
      <c r="E369" s="5">
        <f>E370+E371+E372+E373+E374</f>
        <v>14662.817000000001</v>
      </c>
      <c r="F369" s="5">
        <f>F370+F371+F372+F373+F374</f>
        <v>2081.6057900000001</v>
      </c>
      <c r="G369" s="5" t="s">
        <v>589</v>
      </c>
      <c r="H369" s="58">
        <f>H370+H371+H372+H373+H374</f>
        <v>2081.6057900000001</v>
      </c>
    </row>
    <row r="370" spans="1:8" ht="22.5" customHeight="1" x14ac:dyDescent="0.2">
      <c r="A370" s="32"/>
      <c r="B370" s="26"/>
      <c r="C370" s="6" t="s">
        <v>55</v>
      </c>
      <c r="D370" s="4" t="s">
        <v>590</v>
      </c>
      <c r="E370" s="5">
        <f>0</f>
        <v>0</v>
      </c>
      <c r="F370" s="5">
        <f>0</f>
        <v>0</v>
      </c>
      <c r="G370" s="5" t="s">
        <v>42</v>
      </c>
      <c r="H370" s="58">
        <f>0</f>
        <v>0</v>
      </c>
    </row>
    <row r="371" spans="1:8" ht="22.5" customHeight="1" x14ac:dyDescent="0.2">
      <c r="A371" s="32"/>
      <c r="B371" s="26"/>
      <c r="C371" s="6" t="s">
        <v>70</v>
      </c>
      <c r="D371" s="4" t="s">
        <v>591</v>
      </c>
      <c r="E371" s="5">
        <f>638.627</f>
        <v>638.62699999999995</v>
      </c>
      <c r="F371" s="5">
        <f>342.01379</f>
        <v>342.01378999999997</v>
      </c>
      <c r="G371" s="5" t="s">
        <v>592</v>
      </c>
      <c r="H371" s="58">
        <f>342.01379</f>
        <v>342.01378999999997</v>
      </c>
    </row>
    <row r="372" spans="1:8" ht="22.5" customHeight="1" x14ac:dyDescent="0.2">
      <c r="A372" s="32"/>
      <c r="B372" s="26"/>
      <c r="C372" s="6" t="s">
        <v>73</v>
      </c>
      <c r="D372" s="4" t="s">
        <v>593</v>
      </c>
      <c r="E372" s="5">
        <f>0</f>
        <v>0</v>
      </c>
      <c r="F372" s="5">
        <f>0</f>
        <v>0</v>
      </c>
      <c r="G372" s="5" t="s">
        <v>42</v>
      </c>
      <c r="H372" s="58">
        <f>0</f>
        <v>0</v>
      </c>
    </row>
    <row r="373" spans="1:8" ht="22.5" customHeight="1" x14ac:dyDescent="0.2">
      <c r="A373" s="32"/>
      <c r="B373" s="26"/>
      <c r="C373" s="6" t="s">
        <v>57</v>
      </c>
      <c r="D373" s="4" t="s">
        <v>594</v>
      </c>
      <c r="E373" s="5">
        <f>14024.19</f>
        <v>14024.19</v>
      </c>
      <c r="F373" s="5">
        <f>1739.592</f>
        <v>1739.5920000000001</v>
      </c>
      <c r="G373" s="5" t="s">
        <v>595</v>
      </c>
      <c r="H373" s="58">
        <f>1739.592</f>
        <v>1739.5920000000001</v>
      </c>
    </row>
    <row r="374" spans="1:8" ht="22.5" customHeight="1" x14ac:dyDescent="0.2">
      <c r="A374" s="32"/>
      <c r="B374" s="26"/>
      <c r="C374" s="6" t="s">
        <v>399</v>
      </c>
      <c r="D374" s="4" t="s">
        <v>596</v>
      </c>
      <c r="E374" s="5">
        <f>0</f>
        <v>0</v>
      </c>
      <c r="F374" s="5">
        <f>0</f>
        <v>0</v>
      </c>
      <c r="G374" s="5" t="s">
        <v>42</v>
      </c>
      <c r="H374" s="58">
        <f>0</f>
        <v>0</v>
      </c>
    </row>
    <row r="375" spans="1:8" ht="22.5" customHeight="1" x14ac:dyDescent="0.2">
      <c r="A375" s="32"/>
      <c r="B375" s="26"/>
      <c r="C375" s="4" t="s">
        <v>32</v>
      </c>
      <c r="D375" s="4" t="s">
        <v>597</v>
      </c>
      <c r="E375" s="5">
        <f>E376</f>
        <v>1350</v>
      </c>
      <c r="F375" s="5">
        <f>F376</f>
        <v>391.79199999999997</v>
      </c>
      <c r="G375" s="5" t="s">
        <v>598</v>
      </c>
      <c r="H375" s="58">
        <f>H376</f>
        <v>391.79199999999997</v>
      </c>
    </row>
    <row r="376" spans="1:8" ht="22.5" customHeight="1" x14ac:dyDescent="0.2">
      <c r="A376" s="32"/>
      <c r="B376" s="26"/>
      <c r="C376" s="6" t="s">
        <v>34</v>
      </c>
      <c r="D376" s="4" t="s">
        <v>599</v>
      </c>
      <c r="E376" s="5">
        <f>1350</f>
        <v>1350</v>
      </c>
      <c r="F376" s="5">
        <f>391.792</f>
        <v>391.79199999999997</v>
      </c>
      <c r="G376" s="5" t="s">
        <v>598</v>
      </c>
      <c r="H376" s="58">
        <f>391.792</f>
        <v>391.79199999999997</v>
      </c>
    </row>
    <row r="377" spans="1:8" ht="22.5" customHeight="1" x14ac:dyDescent="0.2">
      <c r="A377" s="32"/>
      <c r="B377" s="26"/>
      <c r="C377" s="4" t="s">
        <v>59</v>
      </c>
      <c r="D377" s="4" t="s">
        <v>600</v>
      </c>
      <c r="E377" s="5">
        <f>E378+E379+E380</f>
        <v>2553</v>
      </c>
      <c r="F377" s="5">
        <f>F378+F379+F380</f>
        <v>966.70672000000002</v>
      </c>
      <c r="G377" s="5" t="s">
        <v>601</v>
      </c>
      <c r="H377" s="58">
        <f>H378+H379+H380</f>
        <v>966.70672000000002</v>
      </c>
    </row>
    <row r="378" spans="1:8" ht="22.5" customHeight="1" x14ac:dyDescent="0.2">
      <c r="A378" s="32"/>
      <c r="B378" s="26"/>
      <c r="C378" s="6" t="s">
        <v>176</v>
      </c>
      <c r="D378" s="4" t="s">
        <v>602</v>
      </c>
      <c r="E378" s="5">
        <f>950</f>
        <v>950</v>
      </c>
      <c r="F378" s="5">
        <f>302.4</f>
        <v>302.39999999999998</v>
      </c>
      <c r="G378" s="5" t="s">
        <v>603</v>
      </c>
      <c r="H378" s="58">
        <f>302.4</f>
        <v>302.39999999999998</v>
      </c>
    </row>
    <row r="379" spans="1:8" ht="22.5" customHeight="1" x14ac:dyDescent="0.2">
      <c r="A379" s="32"/>
      <c r="B379" s="26"/>
      <c r="C379" s="6" t="s">
        <v>247</v>
      </c>
      <c r="D379" s="4" t="s">
        <v>604</v>
      </c>
      <c r="E379" s="5">
        <f>0</f>
        <v>0</v>
      </c>
      <c r="F379" s="5">
        <f>0</f>
        <v>0</v>
      </c>
      <c r="G379" s="5" t="s">
        <v>42</v>
      </c>
      <c r="H379" s="58">
        <f>0</f>
        <v>0</v>
      </c>
    </row>
    <row r="380" spans="1:8" ht="22.5" customHeight="1" x14ac:dyDescent="0.2">
      <c r="A380" s="32"/>
      <c r="B380" s="26"/>
      <c r="C380" s="6" t="s">
        <v>241</v>
      </c>
      <c r="D380" s="4" t="s">
        <v>605</v>
      </c>
      <c r="E380" s="5">
        <f>1603</f>
        <v>1603</v>
      </c>
      <c r="F380" s="5">
        <f>664.30672</f>
        <v>664.30672000000004</v>
      </c>
      <c r="G380" s="5" t="s">
        <v>606</v>
      </c>
      <c r="H380" s="58">
        <f>664.30672</f>
        <v>664.30672000000004</v>
      </c>
    </row>
    <row r="381" spans="1:8" ht="22.5" customHeight="1" x14ac:dyDescent="0.2">
      <c r="A381" s="32"/>
      <c r="B381" s="26"/>
      <c r="C381" s="4" t="s">
        <v>607</v>
      </c>
      <c r="D381" s="4" t="s">
        <v>608</v>
      </c>
      <c r="E381" s="5">
        <f>E382+E383</f>
        <v>9830.375250000001</v>
      </c>
      <c r="F381" s="5">
        <f>F382+F383</f>
        <v>5420.3122299999995</v>
      </c>
      <c r="G381" s="5" t="s">
        <v>609</v>
      </c>
      <c r="H381" s="58">
        <f>H382+H383</f>
        <v>5420.3122299999995</v>
      </c>
    </row>
    <row r="382" spans="1:8" ht="22.5" customHeight="1" x14ac:dyDescent="0.2">
      <c r="A382" s="32"/>
      <c r="B382" s="26"/>
      <c r="C382" s="6" t="s">
        <v>610</v>
      </c>
      <c r="D382" s="4" t="s">
        <v>611</v>
      </c>
      <c r="E382" s="5">
        <f>239.76525+7192.9575+2397.6525</f>
        <v>9830.375250000001</v>
      </c>
      <c r="F382" s="5">
        <f>132.20275+3966.082+1322.02748</f>
        <v>5420.3122299999995</v>
      </c>
      <c r="G382" s="5" t="s">
        <v>609</v>
      </c>
      <c r="H382" s="58">
        <f>132.20275+3966.082+1322.02748</f>
        <v>5420.3122299999995</v>
      </c>
    </row>
    <row r="383" spans="1:8" ht="22.5" customHeight="1" x14ac:dyDescent="0.2">
      <c r="A383" s="32"/>
      <c r="B383" s="26"/>
      <c r="C383" s="6" t="s">
        <v>612</v>
      </c>
      <c r="D383" s="4" t="s">
        <v>613</v>
      </c>
      <c r="E383" s="5">
        <f>0</f>
        <v>0</v>
      </c>
      <c r="F383" s="5">
        <f>0</f>
        <v>0</v>
      </c>
      <c r="G383" s="5" t="s">
        <v>42</v>
      </c>
      <c r="H383" s="58">
        <f>0</f>
        <v>0</v>
      </c>
    </row>
    <row r="384" spans="1:8" ht="22.5" customHeight="1" x14ac:dyDescent="0.2">
      <c r="A384" s="32"/>
      <c r="B384" s="26"/>
      <c r="C384" s="16" t="s">
        <v>64</v>
      </c>
      <c r="D384" s="16" t="s">
        <v>119</v>
      </c>
      <c r="E384" s="17">
        <f>E385</f>
        <v>70345.94</v>
      </c>
      <c r="F384" s="17">
        <f>F385</f>
        <v>49561.270360000002</v>
      </c>
      <c r="G384" s="17" t="s">
        <v>424</v>
      </c>
      <c r="H384" s="57">
        <f>H385</f>
        <v>49561.270360000002</v>
      </c>
    </row>
    <row r="385" spans="1:8" ht="22.5" customHeight="1" x14ac:dyDescent="0.2">
      <c r="A385" s="32"/>
      <c r="B385" s="26"/>
      <c r="C385" s="4" t="s">
        <v>53</v>
      </c>
      <c r="D385" s="4" t="s">
        <v>121</v>
      </c>
      <c r="E385" s="5">
        <f>E386+E387</f>
        <v>70345.94</v>
      </c>
      <c r="F385" s="5">
        <f>F386+F387</f>
        <v>49561.270360000002</v>
      </c>
      <c r="G385" s="5" t="s">
        <v>424</v>
      </c>
      <c r="H385" s="58">
        <f>H386+H387</f>
        <v>49561.270360000002</v>
      </c>
    </row>
    <row r="386" spans="1:8" ht="22.5" customHeight="1" x14ac:dyDescent="0.2">
      <c r="A386" s="32"/>
      <c r="B386" s="26"/>
      <c r="C386" s="6" t="s">
        <v>55</v>
      </c>
      <c r="D386" s="4" t="s">
        <v>614</v>
      </c>
      <c r="E386" s="5">
        <f>64845.94</f>
        <v>64845.94</v>
      </c>
      <c r="F386" s="5">
        <f>45818.196</f>
        <v>45818.196000000004</v>
      </c>
      <c r="G386" s="5" t="s">
        <v>281</v>
      </c>
      <c r="H386" s="58">
        <f>45818.196</f>
        <v>45818.196000000004</v>
      </c>
    </row>
    <row r="387" spans="1:8" ht="22.5" customHeight="1" x14ac:dyDescent="0.2">
      <c r="A387" s="32"/>
      <c r="B387" s="26"/>
      <c r="C387" s="6" t="s">
        <v>70</v>
      </c>
      <c r="D387" s="4" t="s">
        <v>615</v>
      </c>
      <c r="E387" s="5">
        <f>5500</f>
        <v>5500</v>
      </c>
      <c r="F387" s="5">
        <f>3743.07436</f>
        <v>3743.0743600000001</v>
      </c>
      <c r="G387" s="5" t="s">
        <v>61</v>
      </c>
      <c r="H387" s="58">
        <f>3743.07436</f>
        <v>3743.0743600000001</v>
      </c>
    </row>
    <row r="388" spans="1:8" ht="22.5" customHeight="1" x14ac:dyDescent="0.2">
      <c r="A388" s="32"/>
      <c r="B388" s="26"/>
      <c r="C388" s="16" t="s">
        <v>79</v>
      </c>
      <c r="D388" s="16" t="s">
        <v>616</v>
      </c>
      <c r="E388" s="17">
        <f>E389+E390</f>
        <v>2620</v>
      </c>
      <c r="F388" s="17">
        <f>F389+F390</f>
        <v>1705.99</v>
      </c>
      <c r="G388" s="17" t="s">
        <v>617</v>
      </c>
      <c r="H388" s="57">
        <f>H389+H390</f>
        <v>1705.99</v>
      </c>
    </row>
    <row r="389" spans="1:8" ht="22.5" customHeight="1" x14ac:dyDescent="0.2">
      <c r="A389" s="32"/>
      <c r="B389" s="26"/>
      <c r="C389" s="4" t="s">
        <v>53</v>
      </c>
      <c r="D389" s="4" t="s">
        <v>618</v>
      </c>
      <c r="E389" s="5">
        <f>0</f>
        <v>0</v>
      </c>
      <c r="F389" s="5">
        <f>0</f>
        <v>0</v>
      </c>
      <c r="G389" s="5" t="s">
        <v>42</v>
      </c>
      <c r="H389" s="58">
        <f>0</f>
        <v>0</v>
      </c>
    </row>
    <row r="390" spans="1:8" ht="22.5" customHeight="1" x14ac:dyDescent="0.2">
      <c r="A390" s="32"/>
      <c r="B390" s="26"/>
      <c r="C390" s="4" t="s">
        <v>32</v>
      </c>
      <c r="D390" s="4" t="s">
        <v>619</v>
      </c>
      <c r="E390" s="5">
        <f>E391+E392</f>
        <v>2620</v>
      </c>
      <c r="F390" s="5">
        <f>F391+F392</f>
        <v>1705.99</v>
      </c>
      <c r="G390" s="5" t="s">
        <v>617</v>
      </c>
      <c r="H390" s="58">
        <f>H391+H392</f>
        <v>1705.99</v>
      </c>
    </row>
    <row r="391" spans="1:8" ht="22.5" customHeight="1" x14ac:dyDescent="0.2">
      <c r="A391" s="32"/>
      <c r="B391" s="26"/>
      <c r="C391" s="6" t="s">
        <v>34</v>
      </c>
      <c r="D391" s="4" t="s">
        <v>620</v>
      </c>
      <c r="E391" s="5">
        <f>2620</f>
        <v>2620</v>
      </c>
      <c r="F391" s="5">
        <f>1705.99</f>
        <v>1705.99</v>
      </c>
      <c r="G391" s="5" t="s">
        <v>617</v>
      </c>
      <c r="H391" s="58">
        <f>1705.99</f>
        <v>1705.99</v>
      </c>
    </row>
    <row r="392" spans="1:8" ht="22.5" customHeight="1" x14ac:dyDescent="0.2">
      <c r="A392" s="32"/>
      <c r="B392" s="26"/>
      <c r="C392" s="6" t="s">
        <v>35</v>
      </c>
      <c r="D392" s="4" t="s">
        <v>621</v>
      </c>
      <c r="E392" s="5">
        <f>0</f>
        <v>0</v>
      </c>
      <c r="F392" s="5">
        <f>0</f>
        <v>0</v>
      </c>
      <c r="G392" s="5" t="s">
        <v>42</v>
      </c>
      <c r="H392" s="58">
        <f>0</f>
        <v>0</v>
      </c>
    </row>
    <row r="393" spans="1:8" ht="22.5" customHeight="1" thickBot="1" x14ac:dyDescent="0.25">
      <c r="A393" s="76" t="s">
        <v>6</v>
      </c>
      <c r="B393" s="77"/>
      <c r="C393" s="77"/>
      <c r="D393" s="78"/>
      <c r="E393" s="69">
        <f>E364+E368+E384+E388</f>
        <v>102161.13225000001</v>
      </c>
      <c r="F393" s="63">
        <f>F364+F368+F384+F388</f>
        <v>60127.677100000001</v>
      </c>
      <c r="G393" s="70" t="s">
        <v>622</v>
      </c>
      <c r="H393" s="65">
        <f>H364+H368+H384+H388</f>
        <v>60127.677100000001</v>
      </c>
    </row>
    <row r="394" spans="1:8" ht="22.5" customHeight="1" x14ac:dyDescent="0.2">
      <c r="A394" s="33">
        <v>16</v>
      </c>
      <c r="B394" s="30" t="s">
        <v>22</v>
      </c>
      <c r="C394" s="16" t="s">
        <v>30</v>
      </c>
      <c r="D394" s="16" t="s">
        <v>571</v>
      </c>
      <c r="E394" s="17">
        <f>E395+E396</f>
        <v>115</v>
      </c>
      <c r="F394" s="17">
        <f>F395+F396</f>
        <v>115</v>
      </c>
      <c r="G394" s="20" t="s">
        <v>75</v>
      </c>
      <c r="H394" s="57">
        <f>H395+H396</f>
        <v>115</v>
      </c>
    </row>
    <row r="395" spans="1:8" ht="22.5" customHeight="1" x14ac:dyDescent="0.2">
      <c r="A395" s="34"/>
      <c r="B395" s="31"/>
      <c r="C395" s="21" t="s">
        <v>32</v>
      </c>
      <c r="D395" s="4" t="s">
        <v>572</v>
      </c>
      <c r="E395" s="5">
        <f>0</f>
        <v>0</v>
      </c>
      <c r="F395" s="5">
        <f>0</f>
        <v>0</v>
      </c>
      <c r="G395" s="5" t="s">
        <v>42</v>
      </c>
      <c r="H395" s="58">
        <f>0</f>
        <v>0</v>
      </c>
    </row>
    <row r="396" spans="1:8" ht="22.5" customHeight="1" x14ac:dyDescent="0.2">
      <c r="A396" s="34"/>
      <c r="B396" s="31"/>
      <c r="C396" s="4" t="s">
        <v>59</v>
      </c>
      <c r="D396" s="4" t="s">
        <v>573</v>
      </c>
      <c r="E396" s="5">
        <f>E397+E398</f>
        <v>115</v>
      </c>
      <c r="F396" s="5">
        <f>F397+F398</f>
        <v>115</v>
      </c>
      <c r="G396" s="5" t="s">
        <v>75</v>
      </c>
      <c r="H396" s="58">
        <f>H397+H398</f>
        <v>115</v>
      </c>
    </row>
    <row r="397" spans="1:8" ht="22.5" customHeight="1" x14ac:dyDescent="0.2">
      <c r="A397" s="34"/>
      <c r="B397" s="31"/>
      <c r="C397" s="6" t="s">
        <v>176</v>
      </c>
      <c r="D397" s="4" t="s">
        <v>574</v>
      </c>
      <c r="E397" s="5">
        <f>115</f>
        <v>115</v>
      </c>
      <c r="F397" s="5">
        <f>115</f>
        <v>115</v>
      </c>
      <c r="G397" s="5" t="s">
        <v>75</v>
      </c>
      <c r="H397" s="58">
        <f>115</f>
        <v>115</v>
      </c>
    </row>
    <row r="398" spans="1:8" ht="22.5" customHeight="1" x14ac:dyDescent="0.2">
      <c r="A398" s="34"/>
      <c r="B398" s="31"/>
      <c r="C398" s="6" t="s">
        <v>247</v>
      </c>
      <c r="D398" s="4" t="s">
        <v>575</v>
      </c>
      <c r="E398" s="5">
        <f>0</f>
        <v>0</v>
      </c>
      <c r="F398" s="5">
        <f>0</f>
        <v>0</v>
      </c>
      <c r="G398" s="5" t="s">
        <v>42</v>
      </c>
      <c r="H398" s="58">
        <f>0</f>
        <v>0</v>
      </c>
    </row>
    <row r="399" spans="1:8" ht="22.5" customHeight="1" x14ac:dyDescent="0.2">
      <c r="A399" s="34"/>
      <c r="B399" s="31"/>
      <c r="C399" s="16" t="s">
        <v>50</v>
      </c>
      <c r="D399" s="16" t="s">
        <v>576</v>
      </c>
      <c r="E399" s="17">
        <f>E400+E402</f>
        <v>498</v>
      </c>
      <c r="F399" s="17">
        <f>F400+F402</f>
        <v>310.44</v>
      </c>
      <c r="G399" s="17" t="s">
        <v>577</v>
      </c>
      <c r="H399" s="57">
        <f>H400+H402</f>
        <v>310.44</v>
      </c>
    </row>
    <row r="400" spans="1:8" ht="22.5" customHeight="1" x14ac:dyDescent="0.2">
      <c r="A400" s="34"/>
      <c r="B400" s="31"/>
      <c r="C400" s="4" t="s">
        <v>82</v>
      </c>
      <c r="D400" s="4" t="s">
        <v>578</v>
      </c>
      <c r="E400" s="5">
        <f>E401</f>
        <v>498</v>
      </c>
      <c r="F400" s="5">
        <f>F401</f>
        <v>310.44</v>
      </c>
      <c r="G400" s="5" t="s">
        <v>577</v>
      </c>
      <c r="H400" s="58">
        <f>H401</f>
        <v>310.44</v>
      </c>
    </row>
    <row r="401" spans="1:8" ht="22.5" customHeight="1" x14ac:dyDescent="0.2">
      <c r="A401" s="34"/>
      <c r="B401" s="31"/>
      <c r="C401" s="6" t="s">
        <v>85</v>
      </c>
      <c r="D401" s="4" t="s">
        <v>579</v>
      </c>
      <c r="E401" s="5">
        <f>498</f>
        <v>498</v>
      </c>
      <c r="F401" s="5">
        <f>310.44</f>
        <v>310.44</v>
      </c>
      <c r="G401" s="5" t="s">
        <v>577</v>
      </c>
      <c r="H401" s="58">
        <f>310.44</f>
        <v>310.44</v>
      </c>
    </row>
    <row r="402" spans="1:8" ht="22.5" customHeight="1" x14ac:dyDescent="0.2">
      <c r="A402" s="34"/>
      <c r="B402" s="31"/>
      <c r="C402" s="4" t="s">
        <v>91</v>
      </c>
      <c r="D402" s="4" t="s">
        <v>580</v>
      </c>
      <c r="E402" s="5">
        <f>0</f>
        <v>0</v>
      </c>
      <c r="F402" s="5">
        <f>0</f>
        <v>0</v>
      </c>
      <c r="G402" s="5" t="s">
        <v>42</v>
      </c>
      <c r="H402" s="58">
        <f>0</f>
        <v>0</v>
      </c>
    </row>
    <row r="403" spans="1:8" ht="22.5" customHeight="1" thickBot="1" x14ac:dyDescent="0.25">
      <c r="A403" s="71" t="s">
        <v>6</v>
      </c>
      <c r="B403" s="72"/>
      <c r="C403" s="72"/>
      <c r="D403" s="72"/>
      <c r="E403" s="69">
        <f>E394+E399</f>
        <v>613</v>
      </c>
      <c r="F403" s="63">
        <f>F394+F399</f>
        <v>425.44</v>
      </c>
      <c r="G403" s="70" t="s">
        <v>581</v>
      </c>
      <c r="H403" s="65">
        <f>H394+H399</f>
        <v>425.44</v>
      </c>
    </row>
    <row r="404" spans="1:8" ht="22.5" customHeight="1" x14ac:dyDescent="0.2">
      <c r="A404" s="33">
        <v>17</v>
      </c>
      <c r="B404" s="30" t="s">
        <v>23</v>
      </c>
      <c r="C404" s="16" t="s">
        <v>30</v>
      </c>
      <c r="D404" s="16" t="s">
        <v>519</v>
      </c>
      <c r="E404" s="17">
        <f>E405+E412</f>
        <v>357908.76</v>
      </c>
      <c r="F404" s="17">
        <f>F405+F412</f>
        <v>156783.69</v>
      </c>
      <c r="G404" s="20" t="s">
        <v>520</v>
      </c>
      <c r="H404" s="57">
        <f>H405+H412</f>
        <v>156783.69</v>
      </c>
    </row>
    <row r="405" spans="1:8" ht="22.5" customHeight="1" x14ac:dyDescent="0.2">
      <c r="A405" s="34"/>
      <c r="B405" s="31"/>
      <c r="C405" s="4" t="s">
        <v>53</v>
      </c>
      <c r="D405" s="4" t="s">
        <v>521</v>
      </c>
      <c r="E405" s="5">
        <f>E406+E407+E408+E409+E410+E411</f>
        <v>236908.74</v>
      </c>
      <c r="F405" s="5">
        <f>F406+F407+F408+F409+F410+F411</f>
        <v>53789.04</v>
      </c>
      <c r="G405" s="5" t="s">
        <v>522</v>
      </c>
      <c r="H405" s="58">
        <f>H406+H407+H408+H409+H410+H411</f>
        <v>53789.04</v>
      </c>
    </row>
    <row r="406" spans="1:8" ht="22.5" customHeight="1" x14ac:dyDescent="0.2">
      <c r="A406" s="34"/>
      <c r="B406" s="31"/>
      <c r="C406" s="6" t="s">
        <v>73</v>
      </c>
      <c r="D406" s="4" t="s">
        <v>523</v>
      </c>
      <c r="E406" s="5">
        <f>8810.74</f>
        <v>8810.74</v>
      </c>
      <c r="F406" s="5">
        <f>8810.72</f>
        <v>8810.7199999999993</v>
      </c>
      <c r="G406" s="5" t="s">
        <v>75</v>
      </c>
      <c r="H406" s="58">
        <f>8810.72</f>
        <v>8810.7199999999993</v>
      </c>
    </row>
    <row r="407" spans="1:8" ht="22.5" customHeight="1" x14ac:dyDescent="0.2">
      <c r="A407" s="34"/>
      <c r="B407" s="31"/>
      <c r="C407" s="6" t="s">
        <v>57</v>
      </c>
      <c r="D407" s="4" t="s">
        <v>524</v>
      </c>
      <c r="E407" s="5">
        <f>176.97</f>
        <v>176.97</v>
      </c>
      <c r="F407" s="5">
        <f>121.12</f>
        <v>121.12</v>
      </c>
      <c r="G407" s="5" t="s">
        <v>525</v>
      </c>
      <c r="H407" s="58">
        <f>121.12</f>
        <v>121.12</v>
      </c>
    </row>
    <row r="408" spans="1:8" ht="22.5" customHeight="1" x14ac:dyDescent="0.2">
      <c r="A408" s="34"/>
      <c r="B408" s="31"/>
      <c r="C408" s="6" t="s">
        <v>526</v>
      </c>
      <c r="D408" s="4" t="s">
        <v>527</v>
      </c>
      <c r="E408" s="5">
        <f>154941.02+2112.74</f>
        <v>157053.75999999998</v>
      </c>
      <c r="F408" s="5">
        <f>332.12</f>
        <v>332.12</v>
      </c>
      <c r="G408" s="5" t="s">
        <v>528</v>
      </c>
      <c r="H408" s="58">
        <f>332.12</f>
        <v>332.12</v>
      </c>
    </row>
    <row r="409" spans="1:8" ht="22.5" customHeight="1" x14ac:dyDescent="0.2">
      <c r="A409" s="34"/>
      <c r="B409" s="31"/>
      <c r="C409" s="6" t="s">
        <v>529</v>
      </c>
      <c r="D409" s="4" t="s">
        <v>530</v>
      </c>
      <c r="E409" s="5">
        <f>51464.66</f>
        <v>51464.66</v>
      </c>
      <c r="F409" s="5">
        <f>25122.47</f>
        <v>25122.47</v>
      </c>
      <c r="G409" s="5" t="s">
        <v>531</v>
      </c>
      <c r="H409" s="58">
        <f>25122.47</f>
        <v>25122.47</v>
      </c>
    </row>
    <row r="410" spans="1:8" ht="22.5" customHeight="1" x14ac:dyDescent="0.2">
      <c r="A410" s="34"/>
      <c r="B410" s="31"/>
      <c r="C410" s="6" t="s">
        <v>532</v>
      </c>
      <c r="D410" s="4" t="s">
        <v>533</v>
      </c>
      <c r="E410" s="5">
        <f>19401.73</f>
        <v>19401.73</v>
      </c>
      <c r="F410" s="5">
        <f>19401.73</f>
        <v>19401.73</v>
      </c>
      <c r="G410" s="5" t="s">
        <v>75</v>
      </c>
      <c r="H410" s="58">
        <f>19401.73</f>
        <v>19401.73</v>
      </c>
    </row>
    <row r="411" spans="1:8" ht="22.5" customHeight="1" x14ac:dyDescent="0.2">
      <c r="A411" s="34"/>
      <c r="B411" s="31"/>
      <c r="C411" s="6" t="s">
        <v>534</v>
      </c>
      <c r="D411" s="4" t="s">
        <v>535</v>
      </c>
      <c r="E411" s="5">
        <f>0.88</f>
        <v>0.88</v>
      </c>
      <c r="F411" s="5">
        <f>0.88</f>
        <v>0.88</v>
      </c>
      <c r="G411" s="5" t="s">
        <v>75</v>
      </c>
      <c r="H411" s="58">
        <f>0.88</f>
        <v>0.88</v>
      </c>
    </row>
    <row r="412" spans="1:8" ht="22.5" customHeight="1" x14ac:dyDescent="0.2">
      <c r="A412" s="34"/>
      <c r="B412" s="31"/>
      <c r="C412" s="4" t="s">
        <v>536</v>
      </c>
      <c r="D412" s="4" t="s">
        <v>537</v>
      </c>
      <c r="E412" s="5">
        <f>E413+E414</f>
        <v>121000.01999999999</v>
      </c>
      <c r="F412" s="5">
        <f>F413+F414</f>
        <v>102994.65000000001</v>
      </c>
      <c r="G412" s="5" t="s">
        <v>538</v>
      </c>
      <c r="H412" s="58">
        <f>H413+H414</f>
        <v>102994.65000000001</v>
      </c>
    </row>
    <row r="413" spans="1:8" ht="22.5" customHeight="1" x14ac:dyDescent="0.2">
      <c r="A413" s="34"/>
      <c r="B413" s="31"/>
      <c r="C413" s="6" t="s">
        <v>539</v>
      </c>
      <c r="D413" s="4" t="s">
        <v>540</v>
      </c>
      <c r="E413" s="5">
        <f>16824.27+42006.02+14002.01</f>
        <v>72832.299999999988</v>
      </c>
      <c r="F413" s="5">
        <f>16168.77+40369.41+13456.47</f>
        <v>69994.650000000009</v>
      </c>
      <c r="G413" s="5" t="s">
        <v>541</v>
      </c>
      <c r="H413" s="58">
        <f>16168.77+40369.41+13456.47</f>
        <v>69994.650000000009</v>
      </c>
    </row>
    <row r="414" spans="1:8" ht="22.5" customHeight="1" x14ac:dyDescent="0.2">
      <c r="A414" s="34"/>
      <c r="B414" s="31"/>
      <c r="C414" s="6" t="s">
        <v>542</v>
      </c>
      <c r="D414" s="4" t="s">
        <v>543</v>
      </c>
      <c r="E414" s="5">
        <f>11126.75+37040.97</f>
        <v>48167.72</v>
      </c>
      <c r="F414" s="5">
        <f>7623+25377</f>
        <v>33000</v>
      </c>
      <c r="G414" s="5" t="s">
        <v>93</v>
      </c>
      <c r="H414" s="58">
        <f>7623+25377</f>
        <v>33000</v>
      </c>
    </row>
    <row r="415" spans="1:8" ht="22.5" customHeight="1" x14ac:dyDescent="0.2">
      <c r="A415" s="34"/>
      <c r="B415" s="31"/>
      <c r="C415" s="16" t="s">
        <v>50</v>
      </c>
      <c r="D415" s="16" t="s">
        <v>544</v>
      </c>
      <c r="E415" s="17">
        <f>E416+E428+E429</f>
        <v>319370.09005999996</v>
      </c>
      <c r="F415" s="17">
        <f>F416+F428+F429</f>
        <v>200812.70737999998</v>
      </c>
      <c r="G415" s="17" t="s">
        <v>545</v>
      </c>
      <c r="H415" s="57">
        <f>H416+H428+H429</f>
        <v>200812.70737999998</v>
      </c>
    </row>
    <row r="416" spans="1:8" ht="22.5" customHeight="1" x14ac:dyDescent="0.2">
      <c r="A416" s="34"/>
      <c r="B416" s="31"/>
      <c r="C416" s="4" t="s">
        <v>53</v>
      </c>
      <c r="D416" s="4" t="s">
        <v>546</v>
      </c>
      <c r="E416" s="5">
        <f>E417+E418+E419+E420+E421+E422+E423+E424+E425+E426+E427</f>
        <v>271543.12005999999</v>
      </c>
      <c r="F416" s="5">
        <f>F417+F418+F419+F420+F421+F422+F423+F424+F425+F426+F427</f>
        <v>179600.58069999999</v>
      </c>
      <c r="G416" s="5" t="s">
        <v>547</v>
      </c>
      <c r="H416" s="58">
        <f>H417+H418+H419+H420+H421+H422+H423+H424+H425+H426+H427</f>
        <v>179600.58069999999</v>
      </c>
    </row>
    <row r="417" spans="1:8" ht="22.5" customHeight="1" x14ac:dyDescent="0.2">
      <c r="A417" s="34"/>
      <c r="B417" s="31"/>
      <c r="C417" s="6" t="s">
        <v>55</v>
      </c>
      <c r="D417" s="4" t="s">
        <v>548</v>
      </c>
      <c r="E417" s="5">
        <f>18582.92+11927.52</f>
        <v>30510.44</v>
      </c>
      <c r="F417" s="5">
        <f>11480.18+4927.52</f>
        <v>16407.7</v>
      </c>
      <c r="G417" s="5" t="s">
        <v>549</v>
      </c>
      <c r="H417" s="58">
        <f>11480.18+4927.52</f>
        <v>16407.7</v>
      </c>
    </row>
    <row r="418" spans="1:8" ht="22.5" customHeight="1" x14ac:dyDescent="0.2">
      <c r="A418" s="34"/>
      <c r="B418" s="31"/>
      <c r="C418" s="6" t="s">
        <v>70</v>
      </c>
      <c r="D418" s="4" t="s">
        <v>550</v>
      </c>
      <c r="E418" s="5">
        <f>669.18+2227.48</f>
        <v>2896.66</v>
      </c>
      <c r="F418" s="5">
        <f>602.20455+2004.54275</f>
        <v>2606.7473</v>
      </c>
      <c r="G418" s="5" t="s">
        <v>551</v>
      </c>
      <c r="H418" s="58">
        <f>602.20455+2004.54275</f>
        <v>2606.7473</v>
      </c>
    </row>
    <row r="419" spans="1:8" ht="22.5" customHeight="1" x14ac:dyDescent="0.2">
      <c r="A419" s="34"/>
      <c r="B419" s="31"/>
      <c r="C419" s="6" t="s">
        <v>73</v>
      </c>
      <c r="D419" s="4" t="s">
        <v>552</v>
      </c>
      <c r="E419" s="5">
        <f>1403</f>
        <v>1403</v>
      </c>
      <c r="F419" s="5">
        <f>361.59065</f>
        <v>361.59064999999998</v>
      </c>
      <c r="G419" s="5" t="s">
        <v>553</v>
      </c>
      <c r="H419" s="58">
        <f>361.59065</f>
        <v>361.59064999999998</v>
      </c>
    </row>
    <row r="420" spans="1:8" ht="22.5" customHeight="1" x14ac:dyDescent="0.2">
      <c r="A420" s="34"/>
      <c r="B420" s="31"/>
      <c r="C420" s="6" t="s">
        <v>57</v>
      </c>
      <c r="D420" s="4" t="s">
        <v>554</v>
      </c>
      <c r="E420" s="5">
        <f>0</f>
        <v>0</v>
      </c>
      <c r="F420" s="5">
        <f>0</f>
        <v>0</v>
      </c>
      <c r="G420" s="5" t="s">
        <v>42</v>
      </c>
      <c r="H420" s="58">
        <f>0</f>
        <v>0</v>
      </c>
    </row>
    <row r="421" spans="1:8" ht="22.5" customHeight="1" x14ac:dyDescent="0.2">
      <c r="A421" s="34"/>
      <c r="B421" s="31"/>
      <c r="C421" s="6" t="s">
        <v>149</v>
      </c>
      <c r="D421" s="4" t="s">
        <v>555</v>
      </c>
      <c r="E421" s="5">
        <f>53046.469</f>
        <v>53046.468999999997</v>
      </c>
      <c r="F421" s="5">
        <f>28188.03305</f>
        <v>28188.033049999998</v>
      </c>
      <c r="G421" s="5" t="s">
        <v>556</v>
      </c>
      <c r="H421" s="58">
        <f>28188.03305</f>
        <v>28188.033049999998</v>
      </c>
    </row>
    <row r="422" spans="1:8" ht="22.5" customHeight="1" x14ac:dyDescent="0.2">
      <c r="A422" s="34"/>
      <c r="B422" s="31"/>
      <c r="C422" s="6" t="s">
        <v>152</v>
      </c>
      <c r="D422" s="4" t="s">
        <v>557</v>
      </c>
      <c r="E422" s="5">
        <f>39468.16</f>
        <v>39468.160000000003</v>
      </c>
      <c r="F422" s="5">
        <f>27303.23444</f>
        <v>27303.23444</v>
      </c>
      <c r="G422" s="5" t="s">
        <v>558</v>
      </c>
      <c r="H422" s="58">
        <f>27303.23444</f>
        <v>27303.23444</v>
      </c>
    </row>
    <row r="423" spans="1:8" ht="22.5" customHeight="1" x14ac:dyDescent="0.2">
      <c r="A423" s="34"/>
      <c r="B423" s="31"/>
      <c r="C423" s="6" t="s">
        <v>154</v>
      </c>
      <c r="D423" s="4" t="s">
        <v>559</v>
      </c>
      <c r="E423" s="5">
        <f>8782.30351</f>
        <v>8782.3035099999997</v>
      </c>
      <c r="F423" s="5">
        <f>5232.88181</f>
        <v>5232.8818099999999</v>
      </c>
      <c r="G423" s="5" t="s">
        <v>560</v>
      </c>
      <c r="H423" s="58">
        <f>5232.88181</f>
        <v>5232.8818099999999</v>
      </c>
    </row>
    <row r="424" spans="1:8" ht="22.5" customHeight="1" x14ac:dyDescent="0.2">
      <c r="A424" s="34"/>
      <c r="B424" s="31"/>
      <c r="C424" s="6" t="s">
        <v>157</v>
      </c>
      <c r="D424" s="4" t="s">
        <v>561</v>
      </c>
      <c r="E424" s="5">
        <f>65195.39</f>
        <v>65195.39</v>
      </c>
      <c r="F424" s="5">
        <f>43299.81729</f>
        <v>43299.817289999999</v>
      </c>
      <c r="G424" s="5" t="s">
        <v>162</v>
      </c>
      <c r="H424" s="58">
        <f>43299.81729</f>
        <v>43299.817289999999</v>
      </c>
    </row>
    <row r="425" spans="1:8" ht="22.5" customHeight="1" x14ac:dyDescent="0.2">
      <c r="A425" s="34"/>
      <c r="B425" s="31"/>
      <c r="C425" s="6" t="s">
        <v>529</v>
      </c>
      <c r="D425" s="4" t="s">
        <v>562</v>
      </c>
      <c r="E425" s="5">
        <f>36937.05615</f>
        <v>36937.056149999997</v>
      </c>
      <c r="F425" s="5">
        <f>36137.05616</f>
        <v>36137.05616</v>
      </c>
      <c r="G425" s="5" t="s">
        <v>563</v>
      </c>
      <c r="H425" s="58">
        <f>36137.05616</f>
        <v>36137.05616</v>
      </c>
    </row>
    <row r="426" spans="1:8" ht="22.5" customHeight="1" x14ac:dyDescent="0.2">
      <c r="A426" s="34"/>
      <c r="B426" s="31"/>
      <c r="C426" s="6" t="s">
        <v>532</v>
      </c>
      <c r="D426" s="4" t="s">
        <v>564</v>
      </c>
      <c r="E426" s="5">
        <f>29383.3414</f>
        <v>29383.341400000001</v>
      </c>
      <c r="F426" s="5">
        <f>16143.22</f>
        <v>16143.22</v>
      </c>
      <c r="G426" s="5" t="s">
        <v>565</v>
      </c>
      <c r="H426" s="58">
        <f>16143.22</f>
        <v>16143.22</v>
      </c>
    </row>
    <row r="427" spans="1:8" ht="22.5" customHeight="1" x14ac:dyDescent="0.2">
      <c r="A427" s="34"/>
      <c r="B427" s="31"/>
      <c r="C427" s="6" t="s">
        <v>534</v>
      </c>
      <c r="D427" s="4" t="s">
        <v>566</v>
      </c>
      <c r="E427" s="5">
        <f>3920.3</f>
        <v>3920.3</v>
      </c>
      <c r="F427" s="5">
        <f>3920.3</f>
        <v>3920.3</v>
      </c>
      <c r="G427" s="5" t="s">
        <v>75</v>
      </c>
      <c r="H427" s="58">
        <f>3920.3</f>
        <v>3920.3</v>
      </c>
    </row>
    <row r="428" spans="1:8" ht="22.5" customHeight="1" x14ac:dyDescent="0.2">
      <c r="A428" s="34"/>
      <c r="B428" s="31"/>
      <c r="C428" s="4" t="s">
        <v>59</v>
      </c>
      <c r="D428" s="4" t="s">
        <v>567</v>
      </c>
      <c r="E428" s="5">
        <f>0</f>
        <v>0</v>
      </c>
      <c r="F428" s="5">
        <f>0</f>
        <v>0</v>
      </c>
      <c r="G428" s="5" t="s">
        <v>42</v>
      </c>
      <c r="H428" s="58">
        <f>0</f>
        <v>0</v>
      </c>
    </row>
    <row r="429" spans="1:8" ht="22.5" customHeight="1" x14ac:dyDescent="0.2">
      <c r="A429" s="34"/>
      <c r="B429" s="31"/>
      <c r="C429" s="4" t="s">
        <v>536</v>
      </c>
      <c r="D429" s="4" t="s">
        <v>537</v>
      </c>
      <c r="E429" s="5">
        <f>E430</f>
        <v>47826.97</v>
      </c>
      <c r="F429" s="5">
        <f>F430</f>
        <v>21212.126680000001</v>
      </c>
      <c r="G429" s="5" t="s">
        <v>568</v>
      </c>
      <c r="H429" s="58">
        <f>H430</f>
        <v>21212.126680000001</v>
      </c>
    </row>
    <row r="430" spans="1:8" ht="22.5" customHeight="1" x14ac:dyDescent="0.2">
      <c r="A430" s="34"/>
      <c r="B430" s="31"/>
      <c r="C430" s="6" t="s">
        <v>539</v>
      </c>
      <c r="D430" s="4" t="s">
        <v>569</v>
      </c>
      <c r="E430" s="5">
        <f>11048.08+36778.89</f>
        <v>47826.97</v>
      </c>
      <c r="F430" s="5">
        <f>7356.12125+13856.00543</f>
        <v>21212.126680000001</v>
      </c>
      <c r="G430" s="5" t="s">
        <v>568</v>
      </c>
      <c r="H430" s="58">
        <f>7356.12125+13856.00543</f>
        <v>21212.126680000001</v>
      </c>
    </row>
    <row r="431" spans="1:8" ht="22.5" customHeight="1" thickBot="1" x14ac:dyDescent="0.25">
      <c r="A431" s="71" t="s">
        <v>6</v>
      </c>
      <c r="B431" s="72"/>
      <c r="C431" s="72"/>
      <c r="D431" s="72"/>
      <c r="E431" s="69">
        <f>E404+E415</f>
        <v>677278.85005999997</v>
      </c>
      <c r="F431" s="63">
        <f>F404+F415</f>
        <v>357596.39737999998</v>
      </c>
      <c r="G431" s="70" t="s">
        <v>570</v>
      </c>
      <c r="H431" s="65">
        <f>H404+H415</f>
        <v>357596.39737999998</v>
      </c>
    </row>
    <row r="432" spans="1:8" ht="22.5" customHeight="1" x14ac:dyDescent="0.2">
      <c r="A432" s="28">
        <v>18</v>
      </c>
      <c r="B432" s="30" t="s">
        <v>24</v>
      </c>
      <c r="C432" s="16" t="s">
        <v>64</v>
      </c>
      <c r="D432" s="16" t="s">
        <v>498</v>
      </c>
      <c r="E432" s="17">
        <f>E433+E434+E436</f>
        <v>989624.10340000002</v>
      </c>
      <c r="F432" s="17">
        <f>F433+F434+F436</f>
        <v>190906.88500000001</v>
      </c>
      <c r="G432" s="20" t="s">
        <v>499</v>
      </c>
      <c r="H432" s="57">
        <f>H433+H434+H436</f>
        <v>190906.88500000001</v>
      </c>
    </row>
    <row r="433" spans="1:8" ht="22.5" customHeight="1" x14ac:dyDescent="0.2">
      <c r="A433" s="29"/>
      <c r="B433" s="31"/>
      <c r="C433" s="4" t="s">
        <v>53</v>
      </c>
      <c r="D433" s="4" t="s">
        <v>500</v>
      </c>
      <c r="E433" s="5">
        <f>0</f>
        <v>0</v>
      </c>
      <c r="F433" s="5">
        <f>0</f>
        <v>0</v>
      </c>
      <c r="G433" s="5" t="s">
        <v>42</v>
      </c>
      <c r="H433" s="58">
        <f>0</f>
        <v>0</v>
      </c>
    </row>
    <row r="434" spans="1:8" ht="22.5" customHeight="1" x14ac:dyDescent="0.2">
      <c r="A434" s="29"/>
      <c r="B434" s="31"/>
      <c r="C434" s="4" t="s">
        <v>32</v>
      </c>
      <c r="D434" s="4" t="s">
        <v>501</v>
      </c>
      <c r="E434" s="5">
        <f>E435</f>
        <v>135.88339999999999</v>
      </c>
      <c r="F434" s="5">
        <f>F435</f>
        <v>122.625</v>
      </c>
      <c r="G434" s="5" t="s">
        <v>502</v>
      </c>
      <c r="H434" s="58">
        <f>H435</f>
        <v>122.625</v>
      </c>
    </row>
    <row r="435" spans="1:8" ht="22.5" customHeight="1" x14ac:dyDescent="0.2">
      <c r="A435" s="29"/>
      <c r="B435" s="31"/>
      <c r="C435" s="6" t="s">
        <v>503</v>
      </c>
      <c r="D435" s="4" t="s">
        <v>504</v>
      </c>
      <c r="E435" s="5">
        <f>135.8834</f>
        <v>135.88339999999999</v>
      </c>
      <c r="F435" s="5">
        <f>122.625</f>
        <v>122.625</v>
      </c>
      <c r="G435" s="5" t="s">
        <v>502</v>
      </c>
      <c r="H435" s="58">
        <f>122.625</f>
        <v>122.625</v>
      </c>
    </row>
    <row r="436" spans="1:8" ht="22.5" customHeight="1" x14ac:dyDescent="0.2">
      <c r="A436" s="29"/>
      <c r="B436" s="31"/>
      <c r="C436" s="4" t="s">
        <v>505</v>
      </c>
      <c r="D436" s="4" t="s">
        <v>506</v>
      </c>
      <c r="E436" s="5">
        <f>E437</f>
        <v>989488.22</v>
      </c>
      <c r="F436" s="5">
        <f>F437</f>
        <v>190784.26</v>
      </c>
      <c r="G436" s="5" t="s">
        <v>499</v>
      </c>
      <c r="H436" s="58">
        <f>H437</f>
        <v>190784.26</v>
      </c>
    </row>
    <row r="437" spans="1:8" ht="22.5" customHeight="1" x14ac:dyDescent="0.2">
      <c r="A437" s="29"/>
      <c r="B437" s="31"/>
      <c r="C437" s="6" t="s">
        <v>507</v>
      </c>
      <c r="D437" s="4" t="s">
        <v>508</v>
      </c>
      <c r="E437" s="5">
        <f>893153.97+96334.25</f>
        <v>989488.22</v>
      </c>
      <c r="F437" s="5">
        <f>94450.01+96334.25</f>
        <v>190784.26</v>
      </c>
      <c r="G437" s="5" t="s">
        <v>499</v>
      </c>
      <c r="H437" s="58">
        <f>94450.01+96334.25</f>
        <v>190784.26</v>
      </c>
    </row>
    <row r="438" spans="1:8" ht="22.5" customHeight="1" x14ac:dyDescent="0.2">
      <c r="A438" s="29"/>
      <c r="B438" s="31"/>
      <c r="C438" s="16" t="s">
        <v>36</v>
      </c>
      <c r="D438" s="16" t="s">
        <v>509</v>
      </c>
      <c r="E438" s="17">
        <f>E439+E442</f>
        <v>715528.1</v>
      </c>
      <c r="F438" s="17">
        <f>F439+F442</f>
        <v>529528.09</v>
      </c>
      <c r="G438" s="17" t="s">
        <v>510</v>
      </c>
      <c r="H438" s="57">
        <f>H439+H442</f>
        <v>529528.09</v>
      </c>
    </row>
    <row r="439" spans="1:8" ht="22.5" customHeight="1" x14ac:dyDescent="0.2">
      <c r="A439" s="29"/>
      <c r="B439" s="31"/>
      <c r="C439" s="4" t="s">
        <v>492</v>
      </c>
      <c r="D439" s="4" t="s">
        <v>511</v>
      </c>
      <c r="E439" s="5">
        <f>E440</f>
        <v>706000</v>
      </c>
      <c r="F439" s="5">
        <f>F440</f>
        <v>520000</v>
      </c>
      <c r="G439" s="5" t="s">
        <v>512</v>
      </c>
      <c r="H439" s="58">
        <f>H440</f>
        <v>520000</v>
      </c>
    </row>
    <row r="440" spans="1:8" ht="22.5" customHeight="1" x14ac:dyDescent="0.2">
      <c r="A440" s="29"/>
      <c r="B440" s="31"/>
      <c r="C440" s="4" t="s">
        <v>513</v>
      </c>
      <c r="D440" s="4" t="s">
        <v>511</v>
      </c>
      <c r="E440" s="5">
        <f>706000</f>
        <v>706000</v>
      </c>
      <c r="F440" s="5">
        <f>520000</f>
        <v>520000</v>
      </c>
      <c r="G440" s="5" t="s">
        <v>512</v>
      </c>
      <c r="H440" s="58">
        <f>520000</f>
        <v>520000</v>
      </c>
    </row>
    <row r="441" spans="1:8" ht="22.5" customHeight="1" x14ac:dyDescent="0.2">
      <c r="A441" s="29"/>
      <c r="B441" s="31"/>
      <c r="C441" s="4" t="s">
        <v>514</v>
      </c>
      <c r="D441" s="4" t="s">
        <v>515</v>
      </c>
      <c r="E441" s="5">
        <f>E442</f>
        <v>9528.1</v>
      </c>
      <c r="F441" s="5">
        <f>F442</f>
        <v>9528.09</v>
      </c>
      <c r="G441" s="5" t="s">
        <v>75</v>
      </c>
      <c r="H441" s="58">
        <f>H442</f>
        <v>9528.09</v>
      </c>
    </row>
    <row r="442" spans="1:8" ht="22.5" customHeight="1" x14ac:dyDescent="0.2">
      <c r="A442" s="29"/>
      <c r="B442" s="31"/>
      <c r="C442" s="6" t="s">
        <v>516</v>
      </c>
      <c r="D442" s="4" t="s">
        <v>517</v>
      </c>
      <c r="E442" s="5">
        <f>9528.1</f>
        <v>9528.1</v>
      </c>
      <c r="F442" s="5">
        <f>9528.09</f>
        <v>9528.09</v>
      </c>
      <c r="G442" s="5" t="s">
        <v>75</v>
      </c>
      <c r="H442" s="58">
        <f>9528.09</f>
        <v>9528.09</v>
      </c>
    </row>
    <row r="443" spans="1:8" ht="22.5" customHeight="1" thickBot="1" x14ac:dyDescent="0.25">
      <c r="A443" s="76" t="s">
        <v>6</v>
      </c>
      <c r="B443" s="77"/>
      <c r="C443" s="77"/>
      <c r="D443" s="78"/>
      <c r="E443" s="69">
        <f>E432+E438</f>
        <v>1705152.2034</v>
      </c>
      <c r="F443" s="63">
        <f>F432+F438</f>
        <v>720434.97499999998</v>
      </c>
      <c r="G443" s="64" t="s">
        <v>518</v>
      </c>
      <c r="H443" s="70">
        <f>H432+H438</f>
        <v>720434.97499999998</v>
      </c>
    </row>
    <row r="447" spans="1:8" ht="22.5" customHeight="1" x14ac:dyDescent="0.2">
      <c r="D447" s="15"/>
    </row>
    <row r="448" spans="1:8" ht="22.5" customHeight="1" x14ac:dyDescent="0.2">
      <c r="E448" s="25"/>
      <c r="F448" s="25"/>
    </row>
  </sheetData>
  <mergeCells count="55">
    <mergeCell ref="A98:D98"/>
    <mergeCell ref="A5:A13"/>
    <mergeCell ref="B5:B13"/>
    <mergeCell ref="A14:D14"/>
    <mergeCell ref="A15:A50"/>
    <mergeCell ref="B15:B50"/>
    <mergeCell ref="A51:D51"/>
    <mergeCell ref="A52:A97"/>
    <mergeCell ref="B52:B97"/>
    <mergeCell ref="A143:D143"/>
    <mergeCell ref="A150:D150"/>
    <mergeCell ref="A151:A160"/>
    <mergeCell ref="B151:B160"/>
    <mergeCell ref="A144:A149"/>
    <mergeCell ref="B144:B149"/>
    <mergeCell ref="A99:A123"/>
    <mergeCell ref="B99:B123"/>
    <mergeCell ref="A124:D124"/>
    <mergeCell ref="A125:A142"/>
    <mergeCell ref="B125:B142"/>
    <mergeCell ref="A1:H2"/>
    <mergeCell ref="A267:A295"/>
    <mergeCell ref="B267:B295"/>
    <mergeCell ref="A326:D326"/>
    <mergeCell ref="A327:A346"/>
    <mergeCell ref="A161:D161"/>
    <mergeCell ref="A252:D252"/>
    <mergeCell ref="A253:A265"/>
    <mergeCell ref="B253:B265"/>
    <mergeCell ref="A266:D266"/>
    <mergeCell ref="A237:D237"/>
    <mergeCell ref="A238:A251"/>
    <mergeCell ref="B238:B251"/>
    <mergeCell ref="A297:A325"/>
    <mergeCell ref="B297:B325"/>
    <mergeCell ref="A296:D296"/>
    <mergeCell ref="A443:D443"/>
    <mergeCell ref="A394:A402"/>
    <mergeCell ref="B394:B402"/>
    <mergeCell ref="A403:D403"/>
    <mergeCell ref="A404:A430"/>
    <mergeCell ref="B404:B430"/>
    <mergeCell ref="A431:D431"/>
    <mergeCell ref="A363:D363"/>
    <mergeCell ref="B162:B236"/>
    <mergeCell ref="A162:A236"/>
    <mergeCell ref="A432:A442"/>
    <mergeCell ref="B432:B442"/>
    <mergeCell ref="A393:D393"/>
    <mergeCell ref="A364:A392"/>
    <mergeCell ref="B364:B392"/>
    <mergeCell ref="A348:A362"/>
    <mergeCell ref="B348:B362"/>
    <mergeCell ref="B327:B346"/>
    <mergeCell ref="A347:D347"/>
  </mergeCells>
  <pageMargins left="0" right="0" top="0" bottom="0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Ekonomika</cp:lastModifiedBy>
  <cp:lastPrinted>2023-10-26T14:58:22Z</cp:lastPrinted>
  <dcterms:created xsi:type="dcterms:W3CDTF">2020-07-31T08:15:26Z</dcterms:created>
  <dcterms:modified xsi:type="dcterms:W3CDTF">2023-10-31T12:14:01Z</dcterms:modified>
</cp:coreProperties>
</file>